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C:\Users\PLANEACION_HCI\Desktop\"/>
    </mc:Choice>
  </mc:AlternateContent>
  <xr:revisionPtr revIDLastSave="0" documentId="13_ncr:1_{22ED688B-B069-44F9-8233-F1CDF59DAD97}" xr6:coauthVersionLast="40" xr6:coauthVersionMax="40" xr10:uidLastSave="{00000000-0000-0000-0000-000000000000}"/>
  <bookViews>
    <workbookView xWindow="0" yWindow="0" windowWidth="28800" windowHeight="11805" xr2:uid="{E1911768-097F-40F3-A8D7-A6A6BC385F83}"/>
  </bookViews>
  <sheets>
    <sheet name="MAPA SICOF"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33" i="1" l="1"/>
  <c r="AB33" i="1"/>
  <c r="U33" i="1"/>
  <c r="R33" i="1"/>
  <c r="U32" i="1"/>
  <c r="R32" i="1"/>
  <c r="I32" i="1"/>
  <c r="AC31" i="1"/>
  <c r="AB31" i="1" s="1"/>
  <c r="U31" i="1"/>
  <c r="R31" i="1"/>
  <c r="L31" i="1"/>
  <c r="U30" i="1"/>
  <c r="R30" i="1"/>
  <c r="Y30" i="1" s="1"/>
  <c r="Z30" i="1" s="1"/>
  <c r="U29" i="1"/>
  <c r="R29" i="1"/>
  <c r="I29" i="1"/>
  <c r="U28" i="1"/>
  <c r="R28" i="1"/>
  <c r="I28" i="1"/>
  <c r="J28" i="1" s="1"/>
  <c r="Y28" i="1" s="1"/>
  <c r="U27" i="1"/>
  <c r="R27" i="1"/>
  <c r="AC27" i="1" s="1"/>
  <c r="AB27" i="1" s="1"/>
  <c r="L27" i="1"/>
  <c r="U26" i="1"/>
  <c r="R26" i="1"/>
  <c r="L26" i="1"/>
  <c r="AC25" i="1"/>
  <c r="AB25" i="1"/>
  <c r="U25" i="1"/>
  <c r="R25" i="1"/>
  <c r="Y25" i="1" s="1"/>
  <c r="Z25" i="1" s="1"/>
  <c r="AD25" i="1" s="1"/>
  <c r="L25" i="1"/>
  <c r="AC24" i="1"/>
  <c r="AB24" i="1" s="1"/>
  <c r="Y24" i="1"/>
  <c r="U24" i="1"/>
  <c r="R24" i="1"/>
  <c r="L24" i="1"/>
  <c r="U23" i="1"/>
  <c r="R23" i="1"/>
  <c r="AC23" i="1" s="1"/>
  <c r="AB23" i="1" s="1"/>
  <c r="L23" i="1"/>
  <c r="U22" i="1"/>
  <c r="R22" i="1"/>
  <c r="J22" i="1"/>
  <c r="I22" i="1"/>
  <c r="U21" i="1"/>
  <c r="R21" i="1"/>
  <c r="I21" i="1"/>
  <c r="J21" i="1" s="1"/>
  <c r="Y21" i="1" s="1"/>
  <c r="U20" i="1"/>
  <c r="R20" i="1"/>
  <c r="O20" i="1"/>
  <c r="N20" i="1"/>
  <c r="I20" i="1"/>
  <c r="J20" i="1" s="1"/>
  <c r="U19" i="1"/>
  <c r="R19" i="1"/>
  <c r="I19" i="1"/>
  <c r="J19" i="1" s="1"/>
  <c r="U18" i="1"/>
  <c r="R18" i="1"/>
  <c r="I18" i="1"/>
  <c r="J18" i="1" s="1"/>
  <c r="Y18" i="1" s="1"/>
  <c r="AC17" i="1"/>
  <c r="AB17" i="1"/>
  <c r="U17" i="1"/>
  <c r="R17" i="1"/>
  <c r="L17" i="1"/>
  <c r="U16" i="1"/>
  <c r="R16" i="1"/>
  <c r="L16" i="1"/>
  <c r="Y15" i="1"/>
  <c r="AA15" i="1" s="1"/>
  <c r="U15" i="1"/>
  <c r="R15" i="1"/>
  <c r="I15" i="1"/>
  <c r="J15" i="1" s="1"/>
  <c r="U14" i="1"/>
  <c r="R14" i="1"/>
  <c r="L14" i="1"/>
  <c r="U13" i="1"/>
  <c r="Y13" i="1" s="1"/>
  <c r="R13" i="1"/>
  <c r="I13" i="1"/>
  <c r="J13" i="1" s="1"/>
  <c r="U12" i="1"/>
  <c r="R12" i="1"/>
  <c r="AC12" i="1" s="1"/>
  <c r="AB12" i="1" s="1"/>
  <c r="L12" i="1"/>
  <c r="U11" i="1"/>
  <c r="R11" i="1"/>
  <c r="L11" i="1"/>
  <c r="U10" i="1"/>
  <c r="R10" i="1"/>
  <c r="I10" i="1"/>
  <c r="AA13" i="1" l="1"/>
  <c r="Z13" i="1"/>
  <c r="AA21" i="1"/>
  <c r="Z21" i="1"/>
  <c r="AA18" i="1"/>
  <c r="Z18" i="1"/>
  <c r="AA28" i="1"/>
  <c r="Z28" i="1"/>
  <c r="Y14" i="1"/>
  <c r="AC14" i="1"/>
  <c r="AB14" i="1" s="1"/>
  <c r="Z15" i="1"/>
  <c r="AA30" i="1"/>
  <c r="Y20" i="1"/>
  <c r="AC20" i="1"/>
  <c r="AB20" i="1" s="1"/>
  <c r="J29" i="1"/>
  <c r="Y29" i="1"/>
  <c r="Y19" i="1"/>
  <c r="J10" i="1"/>
  <c r="Y10" i="1" s="1"/>
  <c r="AA25" i="1"/>
  <c r="Y32" i="1"/>
  <c r="Y16" i="1"/>
  <c r="Y33" i="1"/>
  <c r="Y27" i="1"/>
  <c r="AC26" i="1"/>
  <c r="AB26" i="1" s="1"/>
  <c r="Y26" i="1"/>
  <c r="AC16" i="1"/>
  <c r="AB16" i="1" s="1"/>
  <c r="AA24" i="1"/>
  <c r="Z24" i="1"/>
  <c r="AD24" i="1" s="1"/>
  <c r="Y22" i="1"/>
  <c r="AC11" i="1"/>
  <c r="AB11" i="1" s="1"/>
  <c r="Y31" i="1"/>
  <c r="AC30" i="1"/>
  <c r="AB30" i="1" s="1"/>
  <c r="AD30" i="1" s="1"/>
  <c r="J32" i="1"/>
  <c r="Z10" i="1" l="1"/>
  <c r="AA10" i="1"/>
  <c r="Y11" i="1" s="1"/>
  <c r="Z27" i="1"/>
  <c r="AD27" i="1" s="1"/>
  <c r="AA27" i="1"/>
  <c r="AA33" i="1"/>
  <c r="Z33" i="1"/>
  <c r="AD33" i="1" s="1"/>
  <c r="AA16" i="1"/>
  <c r="Y17" i="1" s="1"/>
  <c r="Z16" i="1"/>
  <c r="AD16" i="1" s="1"/>
  <c r="AA22" i="1"/>
  <c r="Y23" i="1" s="1"/>
  <c r="Z22" i="1"/>
  <c r="AA26" i="1"/>
  <c r="Z26" i="1"/>
  <c r="AD26" i="1" s="1"/>
  <c r="AA31" i="1"/>
  <c r="Z31" i="1"/>
  <c r="AD31" i="1" s="1"/>
  <c r="Z14" i="1"/>
  <c r="AD14" i="1" s="1"/>
  <c r="AA14" i="1"/>
  <c r="Z19" i="1"/>
  <c r="AA19" i="1"/>
  <c r="AA29" i="1"/>
  <c r="Z29" i="1"/>
  <c r="AA32" i="1"/>
  <c r="Z32" i="1"/>
  <c r="Z20" i="1"/>
  <c r="AD20" i="1" s="1"/>
  <c r="AA20" i="1"/>
  <c r="AA23" i="1" l="1"/>
  <c r="Z23" i="1"/>
  <c r="AD23" i="1" s="1"/>
  <c r="AA11" i="1"/>
  <c r="Y12" i="1" s="1"/>
  <c r="Z11" i="1"/>
  <c r="AD11" i="1" s="1"/>
  <c r="AA17" i="1"/>
  <c r="Z17" i="1"/>
  <c r="AD17" i="1" s="1"/>
  <c r="AA12" i="1" l="1"/>
  <c r="Z12" i="1"/>
  <c r="AD12" i="1" s="1"/>
  <c r="L10" i="1"/>
  <c r="M10" i="1" s="1"/>
  <c r="L29" i="1"/>
  <c r="M29" i="1" s="1"/>
  <c r="L21" i="1"/>
  <c r="M21" i="1" s="1"/>
  <c r="L15" i="1"/>
  <c r="M15" i="1" s="1"/>
  <c r="L19" i="1"/>
  <c r="M19" i="1" s="1"/>
  <c r="L33" i="1"/>
  <c r="M32" i="1" s="1"/>
  <c r="L18" i="1"/>
  <c r="M18" i="1" s="1"/>
  <c r="L13" i="1"/>
  <c r="M13" i="1" s="1"/>
  <c r="L22" i="1"/>
  <c r="M22" i="1" s="1"/>
  <c r="L28" i="1"/>
  <c r="M28" i="1" s="1"/>
  <c r="N10" i="1" l="1"/>
  <c r="AC10" i="1" s="1"/>
  <c r="AB10" i="1" s="1"/>
  <c r="AD10" i="1" s="1"/>
  <c r="O10" i="1"/>
  <c r="O13" i="1"/>
  <c r="N13" i="1"/>
  <c r="AC13" i="1" s="1"/>
  <c r="AB13" i="1" s="1"/>
  <c r="AD13" i="1" s="1"/>
  <c r="N18" i="1"/>
  <c r="AC18" i="1" s="1"/>
  <c r="AB18" i="1" s="1"/>
  <c r="AD18" i="1" s="1"/>
  <c r="O18" i="1"/>
  <c r="N32" i="1"/>
  <c r="AC32" i="1" s="1"/>
  <c r="AB32" i="1" s="1"/>
  <c r="AD32" i="1" s="1"/>
  <c r="O32" i="1"/>
  <c r="O22" i="1"/>
  <c r="N22" i="1"/>
  <c r="AC22" i="1" s="1"/>
  <c r="AB22" i="1" s="1"/>
  <c r="AD22" i="1" s="1"/>
  <c r="N19" i="1"/>
  <c r="AC19" i="1" s="1"/>
  <c r="AB19" i="1" s="1"/>
  <c r="AD19" i="1" s="1"/>
  <c r="O19" i="1"/>
  <c r="O28" i="1"/>
  <c r="N28" i="1"/>
  <c r="AC28" i="1" s="1"/>
  <c r="AB28" i="1" s="1"/>
  <c r="AD28" i="1" s="1"/>
  <c r="N15" i="1"/>
  <c r="AC15" i="1" s="1"/>
  <c r="AB15" i="1" s="1"/>
  <c r="AD15" i="1" s="1"/>
  <c r="O15" i="1"/>
  <c r="N29" i="1"/>
  <c r="AC29" i="1" s="1"/>
  <c r="AB29" i="1" s="1"/>
  <c r="AD29" i="1" s="1"/>
  <c r="O29" i="1"/>
  <c r="O21" i="1"/>
  <c r="N21" i="1"/>
  <c r="AC21" i="1" s="1"/>
  <c r="AB21" i="1" s="1"/>
  <c r="AD21" i="1" s="1"/>
</calcChain>
</file>

<file path=xl/sharedStrings.xml><?xml version="1.0" encoding="utf-8"?>
<sst xmlns="http://schemas.openxmlformats.org/spreadsheetml/2006/main" count="268" uniqueCount="122">
  <si>
    <t>MATRIZ DE RIESGOS</t>
  </si>
  <si>
    <t xml:space="preserve">Subsistema </t>
  </si>
  <si>
    <t>RIESGO DE CORRUPCION,  OPACIDAD, FRAUDE  Y SOBORNO SICOF</t>
  </si>
  <si>
    <t>Subsistema Tipo</t>
  </si>
  <si>
    <t>S8 SICOF</t>
  </si>
  <si>
    <t>Objetivo:</t>
  </si>
  <si>
    <t>Prevenir y mitigar oportunamente los riesgos de corrupción, opacidad, fraude y soborno, a través de la implementación de las acciones preventivas o correctivas que se consideren necesarias para controlar los factores que los generan.</t>
  </si>
  <si>
    <t>Identificación del riesgo</t>
  </si>
  <si>
    <t>Análisis del riesgo inherente</t>
  </si>
  <si>
    <t>Evaluación del riesgo - Valoración de los controles</t>
  </si>
  <si>
    <t>Evaluación del riesgo - Nivel del riesgo residual</t>
  </si>
  <si>
    <t xml:space="preserve">Referencia </t>
  </si>
  <si>
    <t>Proceso Responsable</t>
  </si>
  <si>
    <t>Impacto</t>
  </si>
  <si>
    <t>Causa Inmediata</t>
  </si>
  <si>
    <t>Causa Raíz</t>
  </si>
  <si>
    <t>Descripción del Riesgo</t>
  </si>
  <si>
    <t>Clasificación del Riesgo</t>
  </si>
  <si>
    <t>Frecuencia con la cual se realiza la actividad</t>
  </si>
  <si>
    <t>Probabilidad Inherente</t>
  </si>
  <si>
    <t>%</t>
  </si>
  <si>
    <t>Criterios de impacto</t>
  </si>
  <si>
    <t>Observación de criterio</t>
  </si>
  <si>
    <t>Impacto 
Inherente</t>
  </si>
  <si>
    <t>Zona de Riesgo Inherente</t>
  </si>
  <si>
    <t>No. Control</t>
  </si>
  <si>
    <t>Descripción del Control</t>
  </si>
  <si>
    <t>Afectación</t>
  </si>
  <si>
    <t>Atributos</t>
  </si>
  <si>
    <t>Probabilidad Residual</t>
  </si>
  <si>
    <t>Probabilidad Residual Final</t>
  </si>
  <si>
    <t>Impacto Residual Final</t>
  </si>
  <si>
    <t>Zona de Riesgo Final</t>
  </si>
  <si>
    <t>Tratamiento</t>
  </si>
  <si>
    <t>Tipo</t>
  </si>
  <si>
    <t>Implementación</t>
  </si>
  <si>
    <t>Calificación</t>
  </si>
  <si>
    <t>Documentación</t>
  </si>
  <si>
    <t>Frecuencia</t>
  </si>
  <si>
    <t>Evidencia</t>
  </si>
  <si>
    <t>Gestion Estraegica</t>
  </si>
  <si>
    <t>Económico y Reputacional</t>
  </si>
  <si>
    <t>Tráfico de influencias
Abuso del poder</t>
  </si>
  <si>
    <t>Desconocimiento o
inadecuada aplicación
de la normativa
vigente, de
lineamientos y
procedimientos</t>
  </si>
  <si>
    <t xml:space="preserve">Posibilidad de destinación de recursos
públicos de forma indebida en
favor de un privado o tercero.
</t>
  </si>
  <si>
    <t>Ejecución y Administración de procesos</t>
  </si>
  <si>
    <t xml:space="preserve">     Mayor a 500 SMLMV </t>
  </si>
  <si>
    <t>Elaboración, ejecución y seguimiento del Plan de necesidades</t>
  </si>
  <si>
    <t>Preventivo</t>
  </si>
  <si>
    <t>Manual</t>
  </si>
  <si>
    <t>Documentado</t>
  </si>
  <si>
    <t>Continua</t>
  </si>
  <si>
    <t>Con Registro</t>
  </si>
  <si>
    <t>Reducir (mitigar)</t>
  </si>
  <si>
    <t>Elaboración, ejecución y seguimiento al Plan Anual de Adquisiciones.</t>
  </si>
  <si>
    <t>Aceptar</t>
  </si>
  <si>
    <t>Operatividad del comité de contratación de acuerdo al estatuto de contratación .</t>
  </si>
  <si>
    <t>Gerencia de la Informacion</t>
  </si>
  <si>
    <t>Favorecimiento de un tercero por la manipulación de los activos de la información</t>
  </si>
  <si>
    <t>Falta de implementación de controles administrativos, físicos y técnicos sobre los activos de la información.</t>
  </si>
  <si>
    <t>Posibilidad de alteración y/o manipulación indebida de la información asistencial y administrativa contenida en los sistemas de información institucionales o activos de la información priorizados para el favorecimiento a terceros.</t>
  </si>
  <si>
    <t>Fraude Interno</t>
  </si>
  <si>
    <t xml:space="preserve">     Entre 100 y 500 SMLMV </t>
  </si>
  <si>
    <t>Controles administrativos sobre los activos de la información como creacion de usuarios, desactivacion de usuarios, control de acesso a Centros de datos y archivos fisicos</t>
  </si>
  <si>
    <t>Controles técnicos sobre los activos de la información: definicion de roles y perfiles de acceso a los sistemas de informacion, cambios periodicos de contraseñas de los usuarios</t>
  </si>
  <si>
    <t>Gestion Financiera</t>
  </si>
  <si>
    <t>Ausencia de control a la dispersión de pagos</t>
  </si>
  <si>
    <t>Inadecuada  programación de pagos</t>
  </si>
  <si>
    <t>Posibilidad de que se  realicen pagos a terceros no contratados o pagos a terceros, doble pago o pagos adicionales sin soporte legal.</t>
  </si>
  <si>
    <t>Control al Giro de pagos a terceros  por parte de la oficina de finanzas, juridica y contratacion y gerencia y finalmente tesoreria</t>
  </si>
  <si>
    <t>Revision  de soportes, elaboracion de comprobantes de egreso  antes del giro</t>
  </si>
  <si>
    <t>Revisión posterior al pago vs comprobantes de egreso sistematizados  mediante las conciliaciones bancarias</t>
  </si>
  <si>
    <t>Gestion Estrategica-                          Juridica y Contratacion</t>
  </si>
  <si>
    <t>Favorecimiento a la parte demandante en un litigio</t>
  </si>
  <si>
    <t xml:space="preserve"> acción u omisión, de apoderado judicial ante instancias judiciales para favorecer a un tercero.</t>
  </si>
  <si>
    <t>Posibilidad de perjuicio económico y reputacional de la entidad debido al favorecimiento de la parte demandante en un proceso litigioso por la acción u omisión del apoderado judicial en el ejercicio del su mandato.</t>
  </si>
  <si>
    <t>Seguimiento a las demandas presentadas en contra del Hospital Civil de Ipiales E.S.E.</t>
  </si>
  <si>
    <t>Sin Registro</t>
  </si>
  <si>
    <t>Gestion Estrategica- Juridica y Contratacion</t>
  </si>
  <si>
    <t>Direccionamiento de procesos contractuales para favorecer a un proponente en especifico</t>
  </si>
  <si>
    <t xml:space="preserve">  acción u omisión por el comité de contratacion respecto  al uso de su posición de interviniente en los procesos contractuales para beneficiar a un proponente</t>
  </si>
  <si>
    <t>Posibilidad de perjuicio económico y reputacional de la entidad debido al favorecimiento de un proponente en el desarrollo de un proceso contractual por la acción u omisión de los intervinientes y el desconocimiento o inaplicación de las normas y principios de la contratación publica.</t>
  </si>
  <si>
    <t>Verificación que permite al cumplimiento de los pliegos de condiciones,
 Estatuto de contratación, normas y principios de la contratación pública en los procesos contractuales que adelanta el Hospital Civil de Ipiales E.S.E. mediante el acompañamiento en cada una de las etapas de los procesos contractuales por parte del Comité de Contratación</t>
  </si>
  <si>
    <t>Gerencia del Talento Humano</t>
  </si>
  <si>
    <t>Falta de verificación de la autenticidad de títulos profesionales o técnicos
Falsificación de documentos que soportan la hoja de vida</t>
  </si>
  <si>
    <t>Desactualización del procedimiento para la provisión exclusivamente de personal.</t>
  </si>
  <si>
    <t>Posibilidad de vincular al  personal sin cumplir con el perfil del cargo o  las actividad del contrato para el cual es asignado.</t>
  </si>
  <si>
    <t>Ejecucion y Administracion de procesos</t>
  </si>
  <si>
    <t>Mayor</t>
  </si>
  <si>
    <t xml:space="preserve">Revision de perfiles y requisitos para emision de concepto o  certificado de idoneidad por el proceso de Gererencia del Talento Humano, sin el cual no se puede nombrar o contratar </t>
  </si>
  <si>
    <t xml:space="preserve">1. Identificar cargos de nomina
2. Veriicar hojas de vida vs perfil de cargo
3. Informar las situaciones encontarads
4. Certificar la idoneidad de la totalidad de funcionarios de palanta
</t>
  </si>
  <si>
    <t>01/082025</t>
  </si>
  <si>
    <t>PU Talento Humano</t>
  </si>
  <si>
    <t>Verificacion por parte de la Gerencia previo a la suscripcion del acto administrativo de nombramiento, el cumpliiento de requisitos y la existencia de la certificacion de idoidead emitida por talento humano</t>
  </si>
  <si>
    <t>Sin Documentar</t>
  </si>
  <si>
    <t>Gestion de Recursoso Fisicos- Ingenieria Hospitalaria</t>
  </si>
  <si>
    <t>Falta de adherencia al proceso de ingreso de nuevas  tecnologías</t>
  </si>
  <si>
    <t>Falta de adherencia a la metodología para la adquisición de nuevas Tecnología</t>
  </si>
  <si>
    <t xml:space="preserve">Posibilidad de  compra de equipos no acordes a la necesidad y complejidad institucional, para un  beneficio particular y terceros. </t>
  </si>
  <si>
    <t>Daños Activos Físicos</t>
  </si>
  <si>
    <t>Evaluación de la fichas técnicas de los equipos que estén acordes a las necesidades de la institución previa contratación.</t>
  </si>
  <si>
    <t>LIneamiento establecidos por la institución para la adquisición de las tecnologías según metodología de gestion de la tecnologia</t>
  </si>
  <si>
    <t>Trafico de influencias para acceder a la atención</t>
  </si>
  <si>
    <t>uso de la posición de un funcionario como interviniente en los procesos misionales para beneficiar a un tercero</t>
  </si>
  <si>
    <t xml:space="preserve">Posibilidad de favorecimiento de terceros en procesos de atención. </t>
  </si>
  <si>
    <t>Usuarios, productos y practicas , organizacionales</t>
  </si>
  <si>
    <t xml:space="preserve">Capacitación a los colaboradores en código de Integridad </t>
  </si>
  <si>
    <t>Servicio Farmaceutico</t>
  </si>
  <si>
    <t>Entrega de turno deficiente</t>
  </si>
  <si>
    <t>Inexistencia de seguimiento entre los medicamentos 
entregados y utilizados.</t>
  </si>
  <si>
    <t>Posibilidad de pérdida de medicamentos o dispositivos médicos.</t>
  </si>
  <si>
    <t>Aplicación de listas de chequeo para la  verificación y existencia de los medicamentos y dispositivos equipos</t>
  </si>
  <si>
    <t>Correctivo</t>
  </si>
  <si>
    <t>Entrega de inventario por turno  referente a medicamentos de control especial</t>
  </si>
  <si>
    <t xml:space="preserve">Seguimiento del cruce entre lo entregado y  facturado. </t>
  </si>
  <si>
    <t>Automático</t>
  </si>
  <si>
    <t>Económico</t>
  </si>
  <si>
    <t xml:space="preserve">Realización inoportuna y/o inadecuada de la verificación de las condiciones de almacenamiento de los dispositivos médicos y medicamentos </t>
  </si>
  <si>
    <t>Falta de cumplimiento en la realización de las actividades diarias de verificacion de las condiciones de los medicamentos y dispositivos medicos por parte del personal de regencia.</t>
  </si>
  <si>
    <t>Posibilidad de  deterioro de los medicamentos y dispositivos médicos almacenados en al diferentes áreas del servicio farmacéutico por causas administrativas e internas del proceso</t>
  </si>
  <si>
    <t>Revision mensual de fechas de vencimiento y aplicación metdologia FEFO para la dispensacion de medicamentos</t>
  </si>
  <si>
    <t>Revisión de los formatos de condiciones ambientales de almacenamiento de medicamento y los dispositivos médicos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</si>
</sst>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sz val="11"/>
      <color theme="1"/>
      <name val="Calibri"/>
      <family val="2"/>
      <scheme val="minor"/>
    </font>
    <font>
      <b/>
      <sz val="22"/>
      <color theme="1"/>
      <name val="Arial Narrow"/>
      <family val="2"/>
    </font>
    <font>
      <sz val="11"/>
      <color theme="1"/>
      <name val="Arial Narrow"/>
      <family val="2"/>
    </font>
    <font>
      <b/>
      <sz val="18"/>
      <color theme="1"/>
      <name val="Arial Narrow"/>
      <family val="2"/>
    </font>
    <font>
      <b/>
      <sz val="14"/>
      <color theme="1"/>
      <name val="Arial Narrow"/>
      <family val="2"/>
    </font>
    <font>
      <b/>
      <sz val="11"/>
      <color theme="1"/>
      <name val="Arial Narrow"/>
      <family val="2"/>
    </font>
    <font>
      <sz val="11"/>
      <name val="Arial Narrow"/>
      <family val="2"/>
    </font>
    <font>
      <sz val="10"/>
      <color theme="1"/>
      <name val="Arial Narrow"/>
      <family val="2"/>
    </font>
    <font>
      <b/>
      <sz val="11"/>
      <name val="Arial Narrow"/>
      <family val="2"/>
    </font>
  </fonts>
  <fills count="10">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rgb="FF00B050"/>
        <bgColor indexed="64"/>
      </patternFill>
    </fill>
    <fill>
      <patternFill patternType="solid">
        <fgColor rgb="FFFF9900"/>
        <bgColor indexed="64"/>
      </patternFill>
    </fill>
    <fill>
      <patternFill patternType="solid">
        <fgColor rgb="FFFFFF00"/>
        <bgColor indexed="64"/>
      </patternFill>
    </fill>
  </fills>
  <borders count="18">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dashed">
        <color theme="9" tint="-0.24994659260841701"/>
      </left>
      <right style="dashed">
        <color theme="9" tint="-0.24994659260841701"/>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124">
    <xf numFmtId="0" fontId="0" fillId="0" borderId="0" xfId="0"/>
    <xf numFmtId="0" fontId="3" fillId="3" borderId="0" xfId="0" applyFont="1" applyFill="1"/>
    <xf numFmtId="0" fontId="3" fillId="0" borderId="0" xfId="0" applyFont="1"/>
    <xf numFmtId="0" fontId="3" fillId="3" borderId="0" xfId="0" applyFont="1" applyFill="1" applyAlignment="1">
      <alignment horizontal="center" vertical="center"/>
    </xf>
    <xf numFmtId="0" fontId="3" fillId="3" borderId="0" xfId="0" applyFont="1" applyFill="1" applyAlignment="1">
      <alignment horizontal="left" vertical="center"/>
    </xf>
    <xf numFmtId="0" fontId="3" fillId="3" borderId="0" xfId="0" applyFont="1" applyFill="1" applyAlignment="1">
      <alignment horizontal="center"/>
    </xf>
    <xf numFmtId="0" fontId="6" fillId="2" borderId="8" xfId="0" applyFont="1" applyFill="1" applyBorder="1" applyAlignment="1">
      <alignment horizontal="center" vertical="center" textRotation="90"/>
    </xf>
    <xf numFmtId="0" fontId="6" fillId="3" borderId="0" xfId="0" applyFont="1" applyFill="1" applyAlignment="1">
      <alignment horizontal="center" vertical="center"/>
    </xf>
    <xf numFmtId="0" fontId="6" fillId="2" borderId="0" xfId="0" applyFont="1" applyFill="1" applyAlignment="1">
      <alignment horizontal="center" vertical="center"/>
    </xf>
    <xf numFmtId="0" fontId="3" fillId="0" borderId="14" xfId="0" applyFont="1" applyBorder="1" applyAlignment="1">
      <alignment horizontal="center" vertical="top"/>
    </xf>
    <xf numFmtId="0" fontId="8" fillId="0" borderId="14" xfId="0" applyFont="1" applyBorder="1" applyAlignment="1" applyProtection="1">
      <alignment horizontal="justify" vertical="top" wrapText="1"/>
      <protection locked="0"/>
    </xf>
    <xf numFmtId="0" fontId="3" fillId="0" borderId="14" xfId="0" applyFont="1" applyBorder="1" applyAlignment="1" applyProtection="1">
      <alignment horizontal="center" vertical="top"/>
      <protection hidden="1"/>
    </xf>
    <xf numFmtId="0" fontId="3" fillId="0" borderId="14" xfId="0" applyFont="1" applyBorder="1" applyAlignment="1" applyProtection="1">
      <alignment horizontal="center" vertical="top" textRotation="90"/>
      <protection locked="0"/>
    </xf>
    <xf numFmtId="9" fontId="3" fillId="0" borderId="14" xfId="0" applyNumberFormat="1" applyFont="1" applyBorder="1" applyAlignment="1" applyProtection="1">
      <alignment horizontal="center" vertical="top"/>
      <protection hidden="1"/>
    </xf>
    <xf numFmtId="164" fontId="3" fillId="0" borderId="14" xfId="1" applyNumberFormat="1" applyFont="1" applyBorder="1" applyAlignment="1">
      <alignment horizontal="center" vertical="top"/>
    </xf>
    <xf numFmtId="0" fontId="6" fillId="5" borderId="14" xfId="0" applyFont="1" applyFill="1" applyBorder="1" applyAlignment="1" applyProtection="1">
      <alignment horizontal="center" vertical="top" textRotation="90" wrapText="1"/>
      <protection hidden="1"/>
    </xf>
    <xf numFmtId="0" fontId="6" fillId="4" borderId="14" xfId="0" applyFont="1" applyFill="1" applyBorder="1" applyAlignment="1" applyProtection="1">
      <alignment horizontal="center" vertical="top" textRotation="90" wrapText="1"/>
      <protection hidden="1"/>
    </xf>
    <xf numFmtId="0" fontId="6" fillId="4" borderId="14" xfId="0" applyFont="1" applyFill="1" applyBorder="1" applyAlignment="1" applyProtection="1">
      <alignment horizontal="center" vertical="top" textRotation="90"/>
      <protection hidden="1"/>
    </xf>
    <xf numFmtId="0" fontId="3" fillId="3" borderId="0" xfId="0" applyFont="1" applyFill="1" applyAlignment="1">
      <alignment vertical="center"/>
    </xf>
    <xf numFmtId="0" fontId="3" fillId="0" borderId="0" xfId="0" applyFont="1" applyAlignment="1">
      <alignment vertical="center"/>
    </xf>
    <xf numFmtId="0" fontId="6" fillId="0" borderId="14" xfId="0" applyFont="1" applyBorder="1" applyAlignment="1" applyProtection="1">
      <alignment horizontal="center" vertical="top" textRotation="90" wrapText="1"/>
      <protection hidden="1"/>
    </xf>
    <xf numFmtId="0" fontId="6" fillId="6" borderId="14" xfId="0" applyFont="1" applyFill="1" applyBorder="1" applyAlignment="1" applyProtection="1">
      <alignment horizontal="center" vertical="top" textRotation="90" wrapText="1"/>
      <protection hidden="1"/>
    </xf>
    <xf numFmtId="0" fontId="6" fillId="7" borderId="14" xfId="0" applyFont="1" applyFill="1" applyBorder="1" applyAlignment="1" applyProtection="1">
      <alignment horizontal="center" vertical="top" textRotation="90"/>
      <protection hidden="1"/>
    </xf>
    <xf numFmtId="0" fontId="8" fillId="0" borderId="14" xfId="0" applyFont="1" applyBorder="1" applyAlignment="1" applyProtection="1">
      <alignment horizontal="justify" vertical="top"/>
      <protection locked="0"/>
    </xf>
    <xf numFmtId="0" fontId="6" fillId="5" borderId="14" xfId="0" applyFont="1" applyFill="1" applyBorder="1" applyAlignment="1" applyProtection="1">
      <alignment horizontal="center" vertical="top" textRotation="90"/>
      <protection hidden="1"/>
    </xf>
    <xf numFmtId="164" fontId="3" fillId="3" borderId="14" xfId="1" applyNumberFormat="1" applyFont="1" applyFill="1" applyBorder="1" applyAlignment="1">
      <alignment horizontal="center" vertical="top"/>
    </xf>
    <xf numFmtId="0" fontId="3" fillId="0" borderId="14" xfId="0" applyFont="1" applyBorder="1" applyAlignment="1">
      <alignment horizontal="center" vertical="center" wrapText="1"/>
    </xf>
    <xf numFmtId="0" fontId="3" fillId="0" borderId="14" xfId="0" applyFont="1" applyBorder="1" applyAlignment="1">
      <alignment horizontal="center" vertical="center" textRotation="90" wrapText="1"/>
    </xf>
    <xf numFmtId="0" fontId="3" fillId="0" borderId="14" xfId="0" applyFont="1" applyBorder="1" applyAlignment="1" applyProtection="1">
      <alignment horizontal="center" vertical="center" wrapText="1"/>
      <protection locked="0"/>
    </xf>
    <xf numFmtId="0" fontId="3" fillId="0" borderId="14" xfId="0" applyFont="1" applyBorder="1" applyAlignment="1" applyProtection="1">
      <alignment horizontal="center" vertical="top" wrapText="1"/>
      <protection locked="0"/>
    </xf>
    <xf numFmtId="0" fontId="7" fillId="0" borderId="14" xfId="0" applyFont="1" applyBorder="1" applyAlignment="1" applyProtection="1">
      <alignment horizontal="center" vertical="top" wrapText="1"/>
      <protection locked="0"/>
    </xf>
    <xf numFmtId="0" fontId="3" fillId="0" borderId="14" xfId="0" applyFont="1" applyBorder="1" applyAlignment="1" applyProtection="1">
      <alignment horizontal="center" vertical="top"/>
      <protection locked="0"/>
    </xf>
    <xf numFmtId="0" fontId="6" fillId="9" borderId="14" xfId="0" applyFont="1" applyFill="1" applyBorder="1" applyAlignment="1" applyProtection="1">
      <alignment horizontal="center" vertical="top" wrapText="1"/>
      <protection hidden="1"/>
    </xf>
    <xf numFmtId="9" fontId="3" fillId="0" borderId="14" xfId="0" applyNumberFormat="1" applyFont="1" applyBorder="1" applyAlignment="1" applyProtection="1">
      <alignment horizontal="center" vertical="top" wrapText="1"/>
      <protection hidden="1"/>
    </xf>
    <xf numFmtId="9" fontId="3" fillId="0" borderId="14" xfId="0" applyNumberFormat="1" applyFont="1" applyBorder="1" applyAlignment="1" applyProtection="1">
      <alignment horizontal="center" vertical="top" wrapText="1"/>
      <protection locked="0"/>
    </xf>
    <xf numFmtId="0" fontId="6" fillId="8" borderId="14" xfId="0" applyFont="1" applyFill="1" applyBorder="1" applyAlignment="1" applyProtection="1">
      <alignment horizontal="center" vertical="top" wrapText="1"/>
      <protection hidden="1"/>
    </xf>
    <xf numFmtId="0" fontId="6" fillId="8" borderId="14" xfId="0" applyFont="1" applyFill="1" applyBorder="1" applyAlignment="1" applyProtection="1">
      <alignment horizontal="center" vertical="top"/>
      <protection hidden="1"/>
    </xf>
    <xf numFmtId="14" fontId="3" fillId="0" borderId="14" xfId="0" applyNumberFormat="1" applyFont="1" applyBorder="1" applyAlignment="1" applyProtection="1">
      <alignment horizontal="center" vertical="center" wrapText="1"/>
      <protection locked="0"/>
    </xf>
    <xf numFmtId="0" fontId="3" fillId="3" borderId="0" xfId="0" applyFont="1" applyFill="1" applyAlignment="1">
      <alignment horizontal="center" vertical="center" wrapText="1"/>
    </xf>
    <xf numFmtId="0" fontId="8" fillId="3" borderId="14" xfId="0" applyFont="1" applyFill="1" applyBorder="1" applyAlignment="1" applyProtection="1">
      <alignment horizontal="justify" vertical="top" wrapText="1"/>
      <protection locked="0"/>
    </xf>
    <xf numFmtId="0" fontId="3" fillId="3" borderId="14" xfId="0" applyFont="1" applyFill="1" applyBorder="1" applyAlignment="1" applyProtection="1">
      <alignment horizontal="center" vertical="top"/>
      <protection hidden="1"/>
    </xf>
    <xf numFmtId="0" fontId="3" fillId="3" borderId="14" xfId="0" applyFont="1" applyFill="1" applyBorder="1" applyAlignment="1" applyProtection="1">
      <alignment horizontal="center" vertical="top" textRotation="90"/>
      <protection locked="0"/>
    </xf>
    <xf numFmtId="9" fontId="3" fillId="3" borderId="14" xfId="0" applyNumberFormat="1" applyFont="1" applyFill="1" applyBorder="1" applyAlignment="1" applyProtection="1">
      <alignment horizontal="center" vertical="top"/>
      <protection hidden="1"/>
    </xf>
    <xf numFmtId="9" fontId="3" fillId="5" borderId="14" xfId="0" applyNumberFormat="1" applyFont="1" applyFill="1" applyBorder="1" applyAlignment="1" applyProtection="1">
      <alignment horizontal="center" vertical="top"/>
      <protection hidden="1"/>
    </xf>
    <xf numFmtId="0" fontId="3" fillId="5" borderId="14" xfId="0" applyFont="1" applyFill="1" applyBorder="1" applyAlignment="1" applyProtection="1">
      <alignment horizontal="center" vertical="top" textRotation="90"/>
      <protection locked="0"/>
    </xf>
    <xf numFmtId="0" fontId="3" fillId="0" borderId="14" xfId="0" applyFont="1" applyBorder="1" applyAlignment="1" applyProtection="1">
      <alignment horizontal="justify" vertical="top"/>
      <protection locked="0"/>
    </xf>
    <xf numFmtId="0" fontId="6" fillId="0" borderId="14" xfId="0" applyFont="1" applyBorder="1" applyAlignment="1" applyProtection="1">
      <alignment horizontal="center" vertical="top" textRotation="90"/>
      <protection hidden="1"/>
    </xf>
    <xf numFmtId="0" fontId="6" fillId="9" borderId="14" xfId="0" applyFont="1" applyFill="1" applyBorder="1" applyAlignment="1" applyProtection="1">
      <alignment horizontal="center" vertical="top" textRotation="90" wrapText="1"/>
      <protection hidden="1"/>
    </xf>
    <xf numFmtId="0" fontId="6" fillId="9" borderId="14" xfId="0" applyFont="1" applyFill="1" applyBorder="1" applyAlignment="1" applyProtection="1">
      <alignment horizontal="center" vertical="top" textRotation="90"/>
      <protection hidden="1"/>
    </xf>
    <xf numFmtId="0" fontId="9" fillId="7" borderId="14" xfId="0" applyFont="1" applyFill="1" applyBorder="1" applyAlignment="1" applyProtection="1">
      <alignment horizontal="center" vertical="top" textRotation="90" wrapText="1"/>
      <protection hidden="1"/>
    </xf>
    <xf numFmtId="0" fontId="3" fillId="0" borderId="0" xfId="0" applyFont="1" applyAlignment="1">
      <alignment horizontal="center" vertical="center"/>
    </xf>
    <xf numFmtId="0" fontId="3" fillId="0" borderId="0" xfId="0" applyFont="1" applyAlignment="1">
      <alignment horizontal="center"/>
    </xf>
    <xf numFmtId="0" fontId="6" fillId="9" borderId="15" xfId="0" applyFont="1" applyFill="1" applyBorder="1" applyAlignment="1" applyProtection="1">
      <alignment horizontal="center" vertical="center" wrapText="1"/>
      <protection hidden="1"/>
    </xf>
    <xf numFmtId="0" fontId="0" fillId="9" borderId="17" xfId="0" applyFill="1" applyBorder="1" applyAlignment="1">
      <alignment horizontal="center" vertical="center" wrapText="1"/>
    </xf>
    <xf numFmtId="9" fontId="3" fillId="0" borderId="15" xfId="0" applyNumberFormat="1" applyFont="1" applyBorder="1" applyAlignment="1" applyProtection="1">
      <alignment horizontal="center" vertical="center" wrapText="1"/>
      <protection hidden="1"/>
    </xf>
    <xf numFmtId="0" fontId="0" fillId="0" borderId="17" xfId="0" applyBorder="1" applyAlignment="1">
      <alignment horizontal="center" vertical="center" wrapText="1"/>
    </xf>
    <xf numFmtId="9" fontId="3" fillId="0" borderId="15" xfId="0" applyNumberFormat="1" applyFont="1" applyBorder="1" applyAlignment="1" applyProtection="1">
      <alignment horizontal="center" vertical="center" wrapText="1"/>
      <protection locked="0"/>
    </xf>
    <xf numFmtId="0" fontId="6" fillId="8" borderId="15" xfId="0" applyFont="1" applyFill="1" applyBorder="1" applyAlignment="1" applyProtection="1">
      <alignment horizontal="center" vertical="center" wrapText="1"/>
      <protection hidden="1"/>
    </xf>
    <xf numFmtId="0" fontId="0" fillId="8" borderId="17" xfId="0" applyFill="1" applyBorder="1" applyAlignment="1">
      <alignment horizontal="center" vertical="center" wrapText="1"/>
    </xf>
    <xf numFmtId="9" fontId="3" fillId="0" borderId="14" xfId="0" applyNumberFormat="1" applyFont="1" applyBorder="1" applyAlignment="1" applyProtection="1">
      <alignment horizontal="center" vertical="top" wrapText="1"/>
      <protection hidden="1"/>
    </xf>
    <xf numFmtId="0" fontId="6" fillId="8" borderId="14" xfId="0" applyFont="1" applyFill="1" applyBorder="1" applyAlignment="1" applyProtection="1">
      <alignment horizontal="center" vertical="top"/>
      <protection hidden="1"/>
    </xf>
    <xf numFmtId="0" fontId="3" fillId="0" borderId="15" xfId="0" applyFont="1" applyBorder="1" applyAlignment="1">
      <alignment horizontal="center" vertical="center" wrapText="1"/>
    </xf>
    <xf numFmtId="0" fontId="3" fillId="0" borderId="15" xfId="0" applyFont="1" applyBorder="1" applyAlignment="1">
      <alignment horizontal="center" vertical="center" textRotation="90" wrapText="1"/>
    </xf>
    <xf numFmtId="0" fontId="0" fillId="0" borderId="17" xfId="0" applyBorder="1" applyAlignment="1">
      <alignment horizontal="center" vertical="center" textRotation="90" wrapText="1"/>
    </xf>
    <xf numFmtId="0" fontId="3" fillId="0" borderId="15"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3" fillId="0" borderId="15" xfId="0" applyFont="1" applyBorder="1" applyAlignment="1" applyProtection="1">
      <alignment horizontal="center" vertical="top" wrapText="1"/>
      <protection locked="0"/>
    </xf>
    <xf numFmtId="0" fontId="0" fillId="0" borderId="17" xfId="0" applyBorder="1" applyAlignment="1">
      <alignment horizontal="center" vertical="top" wrapText="1"/>
    </xf>
    <xf numFmtId="0" fontId="3" fillId="0" borderId="14" xfId="0" applyFont="1" applyBorder="1" applyAlignment="1" applyProtection="1">
      <alignment horizontal="center" vertical="top"/>
      <protection locked="0"/>
    </xf>
    <xf numFmtId="0" fontId="6" fillId="7" borderId="14" xfId="0" applyFont="1" applyFill="1" applyBorder="1" applyAlignment="1" applyProtection="1">
      <alignment horizontal="center" vertical="top" wrapText="1"/>
      <protection hidden="1"/>
    </xf>
    <xf numFmtId="9" fontId="3" fillId="0" borderId="14" xfId="0" applyNumberFormat="1" applyFont="1" applyBorder="1" applyAlignment="1" applyProtection="1">
      <alignment horizontal="center" vertical="top" wrapText="1"/>
      <protection locked="0"/>
    </xf>
    <xf numFmtId="0" fontId="6" fillId="8" borderId="14" xfId="0" applyFont="1" applyFill="1" applyBorder="1" applyAlignment="1" applyProtection="1">
      <alignment horizontal="center" vertical="top" wrapText="1"/>
      <protection hidden="1"/>
    </xf>
    <xf numFmtId="0" fontId="3" fillId="0" borderId="14" xfId="0" applyFont="1" applyBorder="1" applyAlignment="1">
      <alignment horizontal="center" vertical="center" wrapText="1"/>
    </xf>
    <xf numFmtId="0" fontId="3" fillId="0" borderId="16" xfId="0" applyFont="1" applyBorder="1" applyAlignment="1">
      <alignment horizontal="center" vertical="center" textRotation="90" wrapText="1"/>
    </xf>
    <xf numFmtId="0" fontId="3" fillId="0" borderId="17" xfId="0" applyFont="1" applyBorder="1" applyAlignment="1">
      <alignment horizontal="center" vertical="center" textRotation="90" wrapText="1"/>
    </xf>
    <xf numFmtId="0" fontId="3" fillId="0" borderId="14" xfId="0" applyFont="1" applyBorder="1" applyAlignment="1" applyProtection="1">
      <alignment horizontal="center" vertical="center" wrapText="1"/>
      <protection locked="0"/>
    </xf>
    <xf numFmtId="0" fontId="3" fillId="0" borderId="14" xfId="0" applyFont="1" applyBorder="1" applyAlignment="1" applyProtection="1">
      <alignment horizontal="center" vertical="top" wrapText="1"/>
      <protection locked="0"/>
    </xf>
    <xf numFmtId="0" fontId="7" fillId="0" borderId="14" xfId="0" applyFont="1" applyBorder="1" applyAlignment="1" applyProtection="1">
      <alignment horizontal="center" vertical="top" wrapText="1"/>
      <protection locked="0"/>
    </xf>
    <xf numFmtId="0" fontId="3" fillId="0" borderId="17" xfId="0" applyFont="1" applyBorder="1" applyAlignment="1" applyProtection="1">
      <alignment horizontal="center" vertical="center" wrapText="1"/>
      <protection locked="0"/>
    </xf>
    <xf numFmtId="0" fontId="6" fillId="4" borderId="14" xfId="0" applyFont="1" applyFill="1" applyBorder="1" applyAlignment="1" applyProtection="1">
      <alignment horizontal="center" vertical="top" wrapText="1"/>
      <protection hidden="1"/>
    </xf>
    <xf numFmtId="0" fontId="6" fillId="4" borderId="14" xfId="0" applyFont="1" applyFill="1" applyBorder="1" applyAlignment="1" applyProtection="1">
      <alignment horizontal="center" vertical="top"/>
      <protection hidden="1"/>
    </xf>
    <xf numFmtId="0" fontId="6" fillId="0" borderId="14" xfId="0" applyFont="1" applyBorder="1" applyAlignment="1" applyProtection="1">
      <alignment horizontal="center" vertical="top" wrapText="1"/>
      <protection hidden="1"/>
    </xf>
    <xf numFmtId="0" fontId="6" fillId="3" borderId="14" xfId="0" applyFont="1" applyFill="1" applyBorder="1" applyAlignment="1" applyProtection="1">
      <alignment horizontal="center" vertical="top" wrapText="1"/>
      <protection hidden="1"/>
    </xf>
    <xf numFmtId="0" fontId="6" fillId="2" borderId="9" xfId="0" applyFont="1" applyFill="1" applyBorder="1" applyAlignment="1">
      <alignment horizontal="center" vertical="center" textRotation="90" wrapText="1"/>
    </xf>
    <xf numFmtId="0" fontId="6" fillId="2" borderId="8" xfId="0" applyFont="1" applyFill="1" applyBorder="1" applyAlignment="1">
      <alignment horizontal="center" vertical="center" textRotation="90" wrapText="1"/>
    </xf>
    <xf numFmtId="0" fontId="6" fillId="2" borderId="11" xfId="0" applyFont="1" applyFill="1" applyBorder="1" applyAlignment="1">
      <alignment horizontal="center" vertical="center" textRotation="90" wrapText="1"/>
    </xf>
    <xf numFmtId="0" fontId="3" fillId="0" borderId="15" xfId="0" applyFont="1" applyBorder="1" applyAlignment="1">
      <alignment horizontal="center" vertical="center" textRotation="90"/>
    </xf>
    <xf numFmtId="0" fontId="3" fillId="0" borderId="16" xfId="0" applyFont="1" applyBorder="1" applyAlignment="1">
      <alignment horizontal="center" vertical="center" textRotation="90"/>
    </xf>
    <xf numFmtId="0" fontId="3" fillId="0" borderId="17" xfId="0" applyFont="1" applyBorder="1" applyAlignment="1">
      <alignment horizontal="center" vertical="center" textRotation="90"/>
    </xf>
    <xf numFmtId="0" fontId="6" fillId="2" borderId="9"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2" xfId="0" applyFont="1" applyFill="1" applyBorder="1" applyAlignment="1">
      <alignment horizontal="center" vertical="center"/>
    </xf>
    <xf numFmtId="0" fontId="6" fillId="2" borderId="10"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5" fillId="2" borderId="8" xfId="0" applyFont="1" applyFill="1" applyBorder="1" applyAlignment="1">
      <alignment horizontal="center" vertical="center" textRotation="90"/>
    </xf>
    <xf numFmtId="0" fontId="5" fillId="2" borderId="11" xfId="0" applyFont="1" applyFill="1" applyBorder="1" applyAlignment="1">
      <alignment horizontal="center" vertical="center" textRotation="90"/>
    </xf>
    <xf numFmtId="0" fontId="0" fillId="0" borderId="13" xfId="0" applyBorder="1" applyAlignment="1">
      <alignment horizontal="center" vertical="center" textRotation="90"/>
    </xf>
    <xf numFmtId="0" fontId="6" fillId="2" borderId="9"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0" xfId="0" applyFont="1" applyFill="1" applyBorder="1" applyAlignment="1">
      <alignment horizontal="center" vertical="center"/>
    </xf>
    <xf numFmtId="0" fontId="4" fillId="2" borderId="5" xfId="0" applyFont="1" applyFill="1" applyBorder="1" applyAlignment="1">
      <alignment horizontal="left" vertical="center"/>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5" fillId="3" borderId="5" xfId="0" applyFont="1" applyFill="1" applyBorder="1" applyAlignment="1" applyProtection="1">
      <alignment horizontal="left" vertical="center" wrapText="1"/>
      <protection locked="0"/>
    </xf>
    <xf numFmtId="0" fontId="5" fillId="3" borderId="6" xfId="0" applyFont="1" applyFill="1" applyBorder="1" applyAlignment="1" applyProtection="1">
      <alignment horizontal="left" vertical="center" wrapText="1"/>
      <protection locked="0"/>
    </xf>
    <xf numFmtId="0" fontId="5" fillId="3" borderId="7" xfId="0" applyFont="1" applyFill="1" applyBorder="1" applyAlignment="1" applyProtection="1">
      <alignment horizontal="left" vertical="center" wrapText="1"/>
      <protection locked="0"/>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5" fillId="3" borderId="5" xfId="0" applyFont="1" applyFill="1" applyBorder="1" applyAlignment="1" applyProtection="1">
      <alignment horizontal="left" vertical="center"/>
      <protection locked="0"/>
    </xf>
    <xf numFmtId="0" fontId="5" fillId="3" borderId="6" xfId="0" applyFont="1" applyFill="1" applyBorder="1" applyAlignment="1" applyProtection="1">
      <alignment horizontal="left" vertical="center"/>
      <protection locked="0"/>
    </xf>
    <xf numFmtId="0" fontId="5" fillId="3" borderId="7" xfId="0" applyFont="1" applyFill="1" applyBorder="1" applyAlignment="1" applyProtection="1">
      <alignment horizontal="left" vertical="center"/>
      <protection locked="0"/>
    </xf>
    <xf numFmtId="0" fontId="3" fillId="3" borderId="0" xfId="0" applyFont="1" applyFill="1" applyAlignment="1">
      <alignment horizontal="left" vertical="center"/>
    </xf>
    <xf numFmtId="0" fontId="4" fillId="2" borderId="5" xfId="0" applyFont="1" applyFill="1" applyBorder="1" applyAlignment="1">
      <alignment vertical="center" wrapText="1"/>
    </xf>
    <xf numFmtId="0" fontId="4" fillId="2" borderId="6" xfId="0" applyFont="1" applyFill="1" applyBorder="1" applyAlignment="1">
      <alignment vertical="center" wrapText="1"/>
    </xf>
    <xf numFmtId="0" fontId="4" fillId="2" borderId="7" xfId="0" applyFont="1" applyFill="1" applyBorder="1" applyAlignment="1">
      <alignment vertical="center" wrapText="1"/>
    </xf>
  </cellXfs>
  <cellStyles count="2">
    <cellStyle name="Normal" xfId="0" builtinId="0"/>
    <cellStyle name="Porcentaje" xfId="1" builtinId="5"/>
  </cellStyles>
  <dxfs count="11">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59623</xdr:colOff>
      <xdr:row>0</xdr:row>
      <xdr:rowOff>61851</xdr:rowOff>
    </xdr:from>
    <xdr:to>
      <xdr:col>16</xdr:col>
      <xdr:colOff>499134</xdr:colOff>
      <xdr:row>1</xdr:row>
      <xdr:rowOff>618507</xdr:rowOff>
    </xdr:to>
    <xdr:pic>
      <xdr:nvPicPr>
        <xdr:cNvPr id="2" name="Imagen 1">
          <a:extLst>
            <a:ext uri="{FF2B5EF4-FFF2-40B4-BE49-F238E27FC236}">
              <a16:creationId xmlns:a16="http://schemas.microsoft.com/office/drawing/2014/main" id="{584434CC-FBD5-453D-85CA-58BB6FD147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98998" y="61851"/>
          <a:ext cx="6916511" cy="766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o-_2256_MAPA%20DE%20RIESGOS%20SICO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SICOF"/>
      <sheetName val="Intructivo"/>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F74A2-B4AF-43E0-9534-34B644479ECB}">
  <sheetPr>
    <tabColor rgb="FF002060"/>
  </sheetPr>
  <dimension ref="A1:BC33"/>
  <sheetViews>
    <sheetView tabSelected="1" topLeftCell="A5" zoomScaleNormal="100" workbookViewId="0">
      <selection activeCell="AR6" sqref="AR6"/>
    </sheetView>
  </sheetViews>
  <sheetFormatPr baseColWidth="10" defaultRowHeight="16.5" x14ac:dyDescent="0.3"/>
  <cols>
    <col min="1" max="1" width="4" style="50" bestFit="1" customWidth="1"/>
    <col min="2" max="2" width="12.7109375" style="50" customWidth="1"/>
    <col min="3" max="3" width="14.140625" style="50" customWidth="1"/>
    <col min="4" max="4" width="13.140625" style="50" customWidth="1"/>
    <col min="5" max="5" width="16.140625" style="50" customWidth="1"/>
    <col min="6" max="6" width="32.42578125" style="2" customWidth="1"/>
    <col min="7" max="7" width="22.42578125" style="51" bestFit="1" customWidth="1"/>
    <col min="8" max="8" width="20.7109375" style="2" customWidth="1"/>
    <col min="9" max="9" width="12.28515625" style="2" customWidth="1"/>
    <col min="10" max="10" width="5.5703125" style="2" bestFit="1" customWidth="1"/>
    <col min="11" max="12" width="22.28515625" style="2" bestFit="1" customWidth="1"/>
    <col min="13" max="13" width="12.140625" style="2" customWidth="1"/>
    <col min="14" max="14" width="5.5703125" style="2" bestFit="1" customWidth="1"/>
    <col min="15" max="15" width="12" style="2" customWidth="1"/>
    <col min="16" max="16" width="22.85546875" style="2" bestFit="1" customWidth="1"/>
    <col min="17" max="17" width="24.140625" style="2" bestFit="1" customWidth="1"/>
    <col min="18" max="18" width="11" style="2" bestFit="1" customWidth="1"/>
    <col min="19" max="20" width="4" style="2" bestFit="1" customWidth="1"/>
    <col min="21" max="21" width="4.5703125" style="2" bestFit="1" customWidth="1"/>
    <col min="22" max="24" width="4" style="2" bestFit="1" customWidth="1"/>
    <col min="25" max="25" width="7.7109375" style="2" customWidth="1"/>
    <col min="26" max="26" width="8.85546875" style="2" customWidth="1"/>
    <col min="27" max="27" width="4.5703125" style="2" bestFit="1" customWidth="1"/>
    <col min="28" max="28" width="8.85546875" style="2" customWidth="1"/>
    <col min="29" max="29" width="5.5703125" style="2" bestFit="1" customWidth="1"/>
    <col min="30" max="30" width="5.85546875" style="2" customWidth="1"/>
    <col min="31" max="31" width="7" style="2" customWidth="1"/>
    <col min="32" max="34" width="11.42578125" style="2"/>
    <col min="35" max="35" width="68.7109375" style="2" customWidth="1"/>
    <col min="36" max="36" width="11.42578125" style="2"/>
    <col min="37" max="37" width="19.42578125" style="2" customWidth="1"/>
    <col min="38" max="38" width="20.42578125" style="2" customWidth="1"/>
    <col min="39" max="16384" width="11.42578125" style="2"/>
  </cols>
  <sheetData>
    <row r="1" spans="1:55" ht="16.5" customHeight="1" x14ac:dyDescent="0.3">
      <c r="A1" s="110" t="s">
        <v>0</v>
      </c>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
      <c r="AG1" s="1"/>
      <c r="AH1" s="1"/>
      <c r="AI1" s="1"/>
      <c r="AJ1" s="1"/>
      <c r="AK1" s="1"/>
      <c r="AL1" s="1"/>
      <c r="AM1" s="1"/>
      <c r="AN1" s="1"/>
      <c r="AO1" s="1"/>
      <c r="AP1" s="1"/>
      <c r="AQ1" s="1"/>
      <c r="AR1" s="1"/>
      <c r="AS1" s="1"/>
      <c r="AT1" s="1"/>
      <c r="AU1" s="1"/>
      <c r="AV1" s="1"/>
      <c r="AW1" s="1"/>
      <c r="AX1" s="1"/>
      <c r="AY1" s="1"/>
      <c r="AZ1" s="1"/>
      <c r="BA1" s="1"/>
      <c r="BB1" s="1"/>
      <c r="BC1" s="1"/>
    </row>
    <row r="2" spans="1:55" ht="55.5" customHeight="1" x14ac:dyDescent="0.3">
      <c r="A2" s="112"/>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
      <c r="AG2" s="1"/>
      <c r="AH2" s="1"/>
      <c r="AI2" s="1"/>
      <c r="AJ2" s="1"/>
      <c r="AK2" s="1"/>
      <c r="AL2" s="1"/>
      <c r="AM2" s="1"/>
      <c r="AN2" s="1"/>
      <c r="AO2" s="1"/>
      <c r="AP2" s="1"/>
      <c r="AQ2" s="1"/>
      <c r="AR2" s="1"/>
      <c r="AS2" s="1"/>
      <c r="AT2" s="1"/>
      <c r="AU2" s="1"/>
      <c r="AV2" s="1"/>
      <c r="AW2" s="1"/>
      <c r="AX2" s="1"/>
      <c r="AY2" s="1"/>
      <c r="AZ2" s="1"/>
      <c r="BA2" s="1"/>
      <c r="BB2" s="1"/>
      <c r="BC2" s="1"/>
    </row>
    <row r="3" spans="1:55" x14ac:dyDescent="0.3">
      <c r="A3" s="3"/>
      <c r="B3" s="3"/>
      <c r="C3" s="4"/>
      <c r="D3" s="3"/>
      <c r="E3" s="3"/>
      <c r="F3" s="1"/>
      <c r="G3" s="5"/>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row>
    <row r="4" spans="1:55" ht="57" customHeight="1" x14ac:dyDescent="0.3">
      <c r="A4" s="114" t="s">
        <v>1</v>
      </c>
      <c r="B4" s="115"/>
      <c r="C4" s="116"/>
      <c r="D4" s="117" t="s">
        <v>2</v>
      </c>
      <c r="E4" s="118"/>
      <c r="F4" s="118"/>
      <c r="G4" s="118"/>
      <c r="H4" s="118"/>
      <c r="I4" s="118"/>
      <c r="J4" s="118"/>
      <c r="K4" s="118"/>
      <c r="L4" s="118"/>
      <c r="M4" s="118"/>
      <c r="N4" s="118"/>
      <c r="O4" s="119"/>
      <c r="P4" s="120"/>
      <c r="Q4" s="120"/>
      <c r="R4" s="120"/>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row>
    <row r="5" spans="1:55" ht="57" customHeight="1" x14ac:dyDescent="0.3">
      <c r="A5" s="121" t="s">
        <v>3</v>
      </c>
      <c r="B5" s="122"/>
      <c r="C5" s="123"/>
      <c r="D5" s="104" t="s">
        <v>4</v>
      </c>
      <c r="E5" s="105"/>
      <c r="F5" s="105"/>
      <c r="G5" s="105"/>
      <c r="H5" s="105"/>
      <c r="I5" s="105"/>
      <c r="J5" s="105"/>
      <c r="K5" s="105"/>
      <c r="L5" s="105"/>
      <c r="M5" s="105"/>
      <c r="N5" s="105"/>
      <c r="O5" s="106"/>
      <c r="P5" s="4"/>
      <c r="Q5" s="4"/>
      <c r="R5" s="4"/>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row>
    <row r="6" spans="1:55" ht="53.25" customHeight="1" x14ac:dyDescent="0.3">
      <c r="A6" s="101" t="s">
        <v>5</v>
      </c>
      <c r="B6" s="102"/>
      <c r="C6" s="103"/>
      <c r="D6" s="104" t="s">
        <v>6</v>
      </c>
      <c r="E6" s="105"/>
      <c r="F6" s="105"/>
      <c r="G6" s="105"/>
      <c r="H6" s="105"/>
      <c r="I6" s="105"/>
      <c r="J6" s="105"/>
      <c r="K6" s="105"/>
      <c r="L6" s="105"/>
      <c r="M6" s="105"/>
      <c r="N6" s="105"/>
      <c r="O6" s="106"/>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row>
    <row r="7" spans="1:55" x14ac:dyDescent="0.3">
      <c r="A7" s="107" t="s">
        <v>7</v>
      </c>
      <c r="B7" s="108"/>
      <c r="C7" s="108"/>
      <c r="D7" s="108"/>
      <c r="E7" s="108"/>
      <c r="F7" s="108"/>
      <c r="G7" s="108"/>
      <c r="H7" s="109"/>
      <c r="I7" s="107" t="s">
        <v>8</v>
      </c>
      <c r="J7" s="108"/>
      <c r="K7" s="108"/>
      <c r="L7" s="108"/>
      <c r="M7" s="108"/>
      <c r="N7" s="108"/>
      <c r="O7" s="109"/>
      <c r="P7" s="107" t="s">
        <v>9</v>
      </c>
      <c r="Q7" s="108"/>
      <c r="R7" s="108"/>
      <c r="S7" s="108"/>
      <c r="T7" s="108"/>
      <c r="U7" s="108"/>
      <c r="V7" s="108"/>
      <c r="W7" s="108"/>
      <c r="X7" s="109"/>
      <c r="Y7" s="107" t="s">
        <v>10</v>
      </c>
      <c r="Z7" s="108"/>
      <c r="AA7" s="108"/>
      <c r="AB7" s="108"/>
      <c r="AC7" s="108"/>
      <c r="AD7" s="108"/>
      <c r="AE7" s="109"/>
      <c r="AF7" s="1"/>
      <c r="AG7" s="1"/>
      <c r="AH7" s="1"/>
      <c r="AI7" s="1"/>
      <c r="AJ7" s="1"/>
      <c r="AK7" s="1"/>
      <c r="AL7" s="1"/>
      <c r="AM7" s="1"/>
      <c r="AN7" s="1"/>
      <c r="AO7" s="1"/>
      <c r="AP7" s="1"/>
      <c r="AQ7" s="1"/>
      <c r="AR7" s="1"/>
      <c r="AS7" s="1"/>
      <c r="AT7" s="1"/>
      <c r="AU7" s="1"/>
      <c r="AV7" s="1"/>
      <c r="AW7" s="1"/>
      <c r="AX7" s="1"/>
      <c r="AY7" s="1"/>
      <c r="AZ7" s="1"/>
      <c r="BA7" s="1"/>
      <c r="BB7" s="1"/>
      <c r="BC7" s="1"/>
    </row>
    <row r="8" spans="1:55" ht="16.5" customHeight="1" x14ac:dyDescent="0.3">
      <c r="A8" s="95" t="s">
        <v>11</v>
      </c>
      <c r="B8" s="95" t="s">
        <v>12</v>
      </c>
      <c r="C8" s="98" t="s">
        <v>13</v>
      </c>
      <c r="D8" s="92" t="s">
        <v>14</v>
      </c>
      <c r="E8" s="92" t="s">
        <v>15</v>
      </c>
      <c r="F8" s="100" t="s">
        <v>16</v>
      </c>
      <c r="G8" s="93" t="s">
        <v>17</v>
      </c>
      <c r="H8" s="92" t="s">
        <v>18</v>
      </c>
      <c r="I8" s="94" t="s">
        <v>19</v>
      </c>
      <c r="J8" s="91" t="s">
        <v>20</v>
      </c>
      <c r="K8" s="93" t="s">
        <v>21</v>
      </c>
      <c r="L8" s="93" t="s">
        <v>22</v>
      </c>
      <c r="M8" s="90" t="s">
        <v>23</v>
      </c>
      <c r="N8" s="91" t="s">
        <v>20</v>
      </c>
      <c r="O8" s="92" t="s">
        <v>24</v>
      </c>
      <c r="P8" s="84" t="s">
        <v>25</v>
      </c>
      <c r="Q8" s="89" t="s">
        <v>26</v>
      </c>
      <c r="R8" s="93" t="s">
        <v>27</v>
      </c>
      <c r="S8" s="89" t="s">
        <v>28</v>
      </c>
      <c r="T8" s="89"/>
      <c r="U8" s="89"/>
      <c r="V8" s="89"/>
      <c r="W8" s="89"/>
      <c r="X8" s="89"/>
      <c r="Y8" s="83" t="s">
        <v>29</v>
      </c>
      <c r="Z8" s="83" t="s">
        <v>30</v>
      </c>
      <c r="AA8" s="83" t="s">
        <v>20</v>
      </c>
      <c r="AB8" s="83" t="s">
        <v>31</v>
      </c>
      <c r="AC8" s="83" t="s">
        <v>20</v>
      </c>
      <c r="AD8" s="83" t="s">
        <v>32</v>
      </c>
      <c r="AE8" s="84" t="s">
        <v>33</v>
      </c>
      <c r="AF8" s="1"/>
      <c r="AG8" s="1"/>
      <c r="AH8" s="1"/>
      <c r="AI8" s="1"/>
      <c r="AJ8" s="1"/>
      <c r="AK8" s="1"/>
      <c r="AL8" s="1"/>
      <c r="AM8" s="1"/>
      <c r="AN8" s="1"/>
      <c r="AO8" s="1"/>
      <c r="AP8" s="1"/>
      <c r="AQ8" s="1"/>
      <c r="AR8" s="1"/>
      <c r="AS8" s="1"/>
      <c r="AT8" s="1"/>
      <c r="AU8" s="1"/>
      <c r="AV8" s="1"/>
      <c r="AW8" s="1"/>
      <c r="AX8" s="1"/>
      <c r="AY8" s="1"/>
      <c r="AZ8" s="1"/>
      <c r="BA8" s="1"/>
      <c r="BB8" s="1"/>
      <c r="BC8" s="1"/>
    </row>
    <row r="9" spans="1:55" s="8" customFormat="1" ht="120.75" customHeight="1" x14ac:dyDescent="0.25">
      <c r="A9" s="96"/>
      <c r="B9" s="97"/>
      <c r="C9" s="99"/>
      <c r="D9" s="93"/>
      <c r="E9" s="93"/>
      <c r="F9" s="99"/>
      <c r="G9" s="94"/>
      <c r="H9" s="93"/>
      <c r="I9" s="94"/>
      <c r="J9" s="91"/>
      <c r="K9" s="94"/>
      <c r="L9" s="94"/>
      <c r="M9" s="91"/>
      <c r="N9" s="91"/>
      <c r="O9" s="93"/>
      <c r="P9" s="85"/>
      <c r="Q9" s="93"/>
      <c r="R9" s="94"/>
      <c r="S9" s="6" t="s">
        <v>34</v>
      </c>
      <c r="T9" s="6" t="s">
        <v>35</v>
      </c>
      <c r="U9" s="6" t="s">
        <v>36</v>
      </c>
      <c r="V9" s="6" t="s">
        <v>37</v>
      </c>
      <c r="W9" s="6" t="s">
        <v>38</v>
      </c>
      <c r="X9" s="6" t="s">
        <v>39</v>
      </c>
      <c r="Y9" s="84"/>
      <c r="Z9" s="84"/>
      <c r="AA9" s="84"/>
      <c r="AB9" s="84"/>
      <c r="AC9" s="84"/>
      <c r="AD9" s="84"/>
      <c r="AE9" s="85"/>
      <c r="AF9" s="7"/>
      <c r="AG9" s="7"/>
      <c r="AH9" s="7"/>
      <c r="AI9" s="7"/>
      <c r="AJ9" s="7"/>
      <c r="AK9" s="7"/>
      <c r="AL9" s="7"/>
      <c r="AM9" s="7"/>
      <c r="AN9" s="7"/>
      <c r="AO9" s="7"/>
      <c r="AP9" s="7"/>
      <c r="AQ9" s="7"/>
      <c r="AR9" s="7"/>
      <c r="AS9" s="7"/>
      <c r="AT9" s="7"/>
      <c r="AU9" s="7"/>
      <c r="AV9" s="7"/>
      <c r="AW9" s="7"/>
      <c r="AX9" s="7"/>
      <c r="AY9" s="7"/>
      <c r="AZ9" s="7"/>
      <c r="BA9" s="7"/>
      <c r="BB9" s="7"/>
      <c r="BC9" s="7"/>
    </row>
    <row r="10" spans="1:55" s="19" customFormat="1" ht="72.75" customHeight="1" x14ac:dyDescent="0.25">
      <c r="A10" s="72">
        <v>1</v>
      </c>
      <c r="B10" s="86" t="s">
        <v>40</v>
      </c>
      <c r="C10" s="75" t="s">
        <v>41</v>
      </c>
      <c r="D10" s="76" t="s">
        <v>42</v>
      </c>
      <c r="E10" s="76" t="s">
        <v>43</v>
      </c>
      <c r="F10" s="77" t="s">
        <v>44</v>
      </c>
      <c r="G10" s="76" t="s">
        <v>45</v>
      </c>
      <c r="H10" s="68">
        <v>10000</v>
      </c>
      <c r="I10" s="82" t="str">
        <f>IF(H10&lt;=0,"",IF(H10&lt;=2,"Muy Baja",IF(H10&lt;=24,"Baja",IF(H10&lt;=500,"Media",IF(H10&lt;=5000,"Alta","Muy Alta")))))</f>
        <v>Muy Alta</v>
      </c>
      <c r="J10" s="59">
        <f>IF(I10="","",IF(I10="Muy Baja",0.2,IF(I10="Baja",0.4,IF(I10="Media",0.6,IF(I10="Alta",0.8,IF(I10="Muy Alta",1,))))))</f>
        <v>1</v>
      </c>
      <c r="K10" s="70" t="s">
        <v>46</v>
      </c>
      <c r="L10" s="59" t="str">
        <f>IF(NOT(ISERROR(MATCH(K10,'[1]Tabla Impacto'!$B$221:$B$223,0))),'[1]Tabla Impacto'!$F$223&amp;"Por favor no seleccionar los criterios de impacto(Afectación Económica o presupuestal y Pérdida Reputacional)",K10)</f>
        <v xml:space="preserve">     Mayor a 500 SMLMV </v>
      </c>
      <c r="M10" s="79" t="str">
        <f>IF(OR(L10='[1]Tabla Impacto'!$C$11,L10='[1]Tabla Impacto'!$D$11),"Leve",IF(OR(L10='[1]Tabla Impacto'!$C$12,L10='[1]Tabla Impacto'!$D$12),"Menor",IF(OR(L10='[1]Tabla Impacto'!$C$13,L10='[1]Tabla Impacto'!$D$13),"Moderado",IF(OR(L10='[1]Tabla Impacto'!$C$14,L10='[1]Tabla Impacto'!$D$14),"Mayor",IF(OR(L10='[1]Tabla Impacto'!$C$15,L10='[1]Tabla Impacto'!$D$15),"Catastrófico","")))))</f>
        <v>Catastrófico</v>
      </c>
      <c r="N10" s="59">
        <f>IF(M10="","",IF(M10="Leve",0.2,IF(M10="Menor",0.4,IF(M10="Moderado",0.6,IF(M10="Mayor",0.8,IF(M10="Catastrófico",1,))))))</f>
        <v>1</v>
      </c>
      <c r="O10" s="80" t="str">
        <f>IF(OR(AND(I10="Muy Baja",M10="Leve"),AND(I10="Muy Baja",M10="Menor"),AND(I10="Baja",M10="Leve")),"Bajo",IF(OR(AND(I10="Muy baja",M10="Moderado"),AND(I10="Baja",M10="Menor"),AND(I10="Baja",M10="Moderado"),AND(I10="Media",M10="Leve"),AND(I10="Media",M10="Menor"),AND(I10="Media",M10="Moderado"),AND(I10="Alta",M10="Leve"),AND(I10="Alta",M10="Menor")),"Moderado",IF(OR(AND(I10="Muy Baja",M10="Mayor"),AND(I10="Baja",M10="Mayor"),AND(I10="Media",M10="Mayor"),AND(I10="Alta",M10="Moderado"),AND(I10="Alta",M10="Mayor"),AND(I10="Muy Alta",M10="Leve"),AND(I10="Muy Alta",M10="Menor"),AND(I10="Muy Alta",M10="Moderado"),AND(I10="Muy Alta",M10="Mayor")),"Alto",IF(OR(AND(I10="Muy Baja",M10="Catastrófico"),AND(I10="Baja",M10="Catastrófico"),AND(I10="Media",M10="Catastrófico"),AND(I10="Alta",M10="Catastrófico"),AND(I10="Muy Alta",M10="Catastrófico")),"Extremo",""))))</f>
        <v>Extremo</v>
      </c>
      <c r="P10" s="9">
        <v>1</v>
      </c>
      <c r="Q10" s="10" t="s">
        <v>47</v>
      </c>
      <c r="R10" s="11" t="str">
        <f t="shared" ref="R10:R33" si="0">IF(OR(S10="Preventivo",S10="Detectivo"),"Probabilidad",IF(S10="Correctivo","Impacto",""))</f>
        <v>Probabilidad</v>
      </c>
      <c r="S10" s="12" t="s">
        <v>48</v>
      </c>
      <c r="T10" s="12" t="s">
        <v>49</v>
      </c>
      <c r="U10" s="13" t="str">
        <f>IF(AND(S10="Preventivo",T10="Automático"),"50%",IF(AND(S10="Preventivo",T10="Manual"),"40%",IF(AND(S10="Detectivo",T10="Automático"),"40%",IF(AND(S10="Detectivo",T10="Manual"),"30%",IF(AND(S10="Correctivo",T10="Automático"),"35%",IF(AND(S10="Correctivo",T10="Manual"),"25%",""))))))</f>
        <v>40%</v>
      </c>
      <c r="V10" s="12" t="s">
        <v>50</v>
      </c>
      <c r="W10" s="12" t="s">
        <v>51</v>
      </c>
      <c r="X10" s="12" t="s">
        <v>52</v>
      </c>
      <c r="Y10" s="14">
        <f>IFERROR(IF(R10="Probabilidad",(J10-(+J10*U10)),IF(R10="Impacto",J10,"")),"")</f>
        <v>0.6</v>
      </c>
      <c r="Z10" s="15" t="str">
        <f>IFERROR(IF(Y10="","",IF(Y10&lt;=0.2,"Muy Baja",IF(Y10&lt;=0.4,"Baja",IF(Y10&lt;=0.6,"Media",IF(Y10&lt;=0.8,"Alta","Muy Alta"))))),"")</f>
        <v>Media</v>
      </c>
      <c r="AA10" s="13">
        <f>+Y10</f>
        <v>0.6</v>
      </c>
      <c r="AB10" s="16" t="str">
        <f>IFERROR(IF(AC10="","",IF(AC10&lt;=0.2,"Leve",IF(AC10&lt;=0.4,"Menor",IF(AC10&lt;=0.6,"Moderado",IF(AC10&lt;=0.8,"Mayor","Catastrófico"))))),"")</f>
        <v>Catastrófico</v>
      </c>
      <c r="AC10" s="13">
        <f>IFERROR(IF(R10="Impacto",(N10-(+N10*U10)),IF(R10="Probabilidad",N10,"")),"")</f>
        <v>1</v>
      </c>
      <c r="AD10" s="17" t="str">
        <f>IFERROR(IF(OR(AND(Z10="Muy Baja",AB10="Leve"),AND(Z10="Muy Baja",AB10="Menor"),AND(Z10="Baja",AB10="Leve")),"Bajo",IF(OR(AND(Z10="Muy baja",AB10="Moderado"),AND(Z10="Baja",AB10="Menor"),AND(Z10="Baja",AB10="Moderado"),AND(Z10="Media",AB10="Leve"),AND(Z10="Media",AB10="Menor"),AND(Z10="Media",AB10="Moderado"),AND(Z10="Alta",AB10="Leve"),AND(Z10="Alta",AB10="Menor")),"Moderado",IF(OR(AND(Z10="Muy Baja",AB10="Mayor"),AND(Z10="Baja",AB10="Mayor"),AND(Z10="Media",AB10="Mayor"),AND(Z10="Alta",AB10="Moderado"),AND(Z10="Alta",AB10="Mayor"),AND(Z10="Muy Alta",AB10="Leve"),AND(Z10="Muy Alta",AB10="Menor"),AND(Z10="Muy Alta",AB10="Moderado"),AND(Z10="Muy Alta",AB10="Mayor")),"Alto",IF(OR(AND(Z10="Muy Baja",AB10="Catastrófico"),AND(Z10="Baja",AB10="Catastrófico"),AND(Z10="Media",AB10="Catastrófico"),AND(Z10="Alta",AB10="Catastrófico"),AND(Z10="Muy Alta",AB10="Catastrófico")),"Extremo","")))),"")</f>
        <v>Extremo</v>
      </c>
      <c r="AE10" s="12" t="s">
        <v>53</v>
      </c>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row>
    <row r="11" spans="1:55" ht="60" customHeight="1" x14ac:dyDescent="0.3">
      <c r="A11" s="72"/>
      <c r="B11" s="87"/>
      <c r="C11" s="75"/>
      <c r="D11" s="76"/>
      <c r="E11" s="76"/>
      <c r="F11" s="77"/>
      <c r="G11" s="76"/>
      <c r="H11" s="68"/>
      <c r="I11" s="82"/>
      <c r="J11" s="59"/>
      <c r="K11" s="70"/>
      <c r="L11" s="59">
        <f ca="1">IF(NOT(ISERROR(MATCH(K11,_xlfn.ANCHORARRAY(F15),0))),J17&amp;"Por favor no seleccionar los criterios de impacto",K11)</f>
        <v>0</v>
      </c>
      <c r="M11" s="79"/>
      <c r="N11" s="59"/>
      <c r="O11" s="80"/>
      <c r="P11" s="9">
        <v>2</v>
      </c>
      <c r="Q11" s="10" t="s">
        <v>54</v>
      </c>
      <c r="R11" s="11" t="str">
        <f t="shared" si="0"/>
        <v>Probabilidad</v>
      </c>
      <c r="S11" s="12" t="s">
        <v>48</v>
      </c>
      <c r="T11" s="12" t="s">
        <v>49</v>
      </c>
      <c r="U11" s="13" t="str">
        <f t="shared" ref="U11:U33" si="1">IF(AND(S11="Preventivo",T11="Automático"),"50%",IF(AND(S11="Preventivo",T11="Manual"),"40%",IF(AND(S11="Detectivo",T11="Automático"),"40%",IF(AND(S11="Detectivo",T11="Manual"),"30%",IF(AND(S11="Correctivo",T11="Automático"),"35%",IF(AND(S11="Correctivo",T11="Manual"),"25%",""))))))</f>
        <v>40%</v>
      </c>
      <c r="V11" s="12" t="s">
        <v>50</v>
      </c>
      <c r="W11" s="12" t="s">
        <v>51</v>
      </c>
      <c r="X11" s="12" t="s">
        <v>52</v>
      </c>
      <c r="Y11" s="14">
        <f>IFERROR(IF(AND(R10="Probabilidad",R11="Probabilidad"),(AA10-(+AA10*U11)),IF(R11="Probabilidad",(J10-(+J10*U11)),IF(R11="Impacto",AA10,""))),"")</f>
        <v>0.36</v>
      </c>
      <c r="Z11" s="20" t="str">
        <f t="shared" ref="Z11:Z33" si="2">IFERROR(IF(Y11="","",IF(Y11&lt;=0.2,"Muy Baja",IF(Y11&lt;=0.4,"Baja",IF(Y11&lt;=0.6,"Media",IF(Y11&lt;=0.8,"Alta","Muy Alta"))))),"")</f>
        <v>Baja</v>
      </c>
      <c r="AA11" s="13">
        <f t="shared" ref="AA11:AA33" si="3">+Y11</f>
        <v>0.36</v>
      </c>
      <c r="AB11" s="21" t="str">
        <f t="shared" ref="AB11:AB32" si="4">IFERROR(IF(AC11="","",IF(AC11&lt;=0.2,"Leve",IF(AC11&lt;=0.4,"Menor",IF(AC11&lt;=0.6,"Moderado",IF(AC11&lt;=0.8,"Mayor","Catastrófico"))))),"")</f>
        <v>Leve</v>
      </c>
      <c r="AC11" s="13">
        <f t="shared" ref="AC11:AC33" si="5">IFERROR(IF(R11="Impacto",(N11-(+N11*U11)),IF(R11="Probabilidad",N11,"")),"")</f>
        <v>0</v>
      </c>
      <c r="AD11" s="22" t="str">
        <f t="shared" ref="AD11:AD33" si="6">IFERROR(IF(OR(AND(Z11="Muy Baja",AB11="Leve"),AND(Z11="Muy Baja",AB11="Menor"),AND(Z11="Baja",AB11="Leve")),"Bajo",IF(OR(AND(Z11="Muy baja",AB11="Moderado"),AND(Z11="Baja",AB11="Menor"),AND(Z11="Baja",AB11="Moderado"),AND(Z11="Media",AB11="Leve"),AND(Z11="Media",AB11="Menor"),AND(Z11="Media",AB11="Moderado"),AND(Z11="Alta",AB11="Leve"),AND(Z11="Alta",AB11="Menor")),"Moderado",IF(OR(AND(Z11="Muy Baja",AB11="Mayor"),AND(Z11="Baja",AB11="Mayor"),AND(Z11="Media",AB11="Mayor"),AND(Z11="Alta",AB11="Moderado"),AND(Z11="Alta",AB11="Mayor"),AND(Z11="Muy Alta",AB11="Leve"),AND(Z11="Muy Alta",AB11="Menor"),AND(Z11="Muy Alta",AB11="Moderado"),AND(Z11="Muy Alta",AB11="Mayor")),"Alto",IF(OR(AND(Z11="Muy Baja",AB11="Catastrófico"),AND(Z11="Baja",AB11="Catastrófico"),AND(Z11="Media",AB11="Catastrófico"),AND(Z11="Alta",AB11="Catastrófico"),AND(Z11="Muy Alta",AB11="Catastrófico")),"Extremo","")))),"")</f>
        <v>Bajo</v>
      </c>
      <c r="AE11" s="12" t="s">
        <v>55</v>
      </c>
      <c r="AF11" s="1"/>
      <c r="AG11" s="1"/>
      <c r="AH11" s="1"/>
      <c r="AI11" s="1"/>
      <c r="AJ11" s="1"/>
      <c r="AK11" s="1"/>
      <c r="AL11" s="1"/>
      <c r="AM11" s="1"/>
      <c r="AN11" s="1"/>
      <c r="AO11" s="1"/>
      <c r="AP11" s="1"/>
      <c r="AQ11" s="1"/>
      <c r="AR11" s="1"/>
      <c r="AS11" s="1"/>
      <c r="AT11" s="1"/>
      <c r="AU11" s="1"/>
      <c r="AV11" s="1"/>
      <c r="AW11" s="1"/>
      <c r="AX11" s="1"/>
      <c r="AY11" s="1"/>
      <c r="AZ11" s="1"/>
      <c r="BA11" s="1"/>
      <c r="BB11" s="1"/>
      <c r="BC11" s="1"/>
    </row>
    <row r="12" spans="1:55" ht="83.25" customHeight="1" x14ac:dyDescent="0.3">
      <c r="A12" s="72"/>
      <c r="B12" s="88"/>
      <c r="C12" s="75"/>
      <c r="D12" s="76"/>
      <c r="E12" s="76"/>
      <c r="F12" s="77"/>
      <c r="G12" s="76"/>
      <c r="H12" s="68"/>
      <c r="I12" s="82"/>
      <c r="J12" s="59"/>
      <c r="K12" s="70"/>
      <c r="L12" s="59">
        <f ca="1">IF(NOT(ISERROR(MATCH(K12,_xlfn.ANCHORARRAY(F16),0))),#REF!&amp;"Por favor no seleccionar los criterios de impacto",K12)</f>
        <v>0</v>
      </c>
      <c r="M12" s="79"/>
      <c r="N12" s="59"/>
      <c r="O12" s="80"/>
      <c r="P12" s="9">
        <v>3</v>
      </c>
      <c r="Q12" s="23" t="s">
        <v>56</v>
      </c>
      <c r="R12" s="11" t="str">
        <f t="shared" si="0"/>
        <v>Probabilidad</v>
      </c>
      <c r="S12" s="12" t="s">
        <v>48</v>
      </c>
      <c r="T12" s="12" t="s">
        <v>49</v>
      </c>
      <c r="U12" s="13" t="str">
        <f t="shared" si="1"/>
        <v>40%</v>
      </c>
      <c r="V12" s="12" t="s">
        <v>50</v>
      </c>
      <c r="W12" s="12" t="s">
        <v>51</v>
      </c>
      <c r="X12" s="12" t="s">
        <v>52</v>
      </c>
      <c r="Y12" s="14">
        <f>IFERROR(IF(AND(R11="Probabilidad",R12="Probabilidad"),(AA11-(+AA11*U12)),IF(AND(R11="Impacto",R12="Probabilidad"),(AA10-(+AA10*U12)),IF(R12="Impacto",AA11,""))),"")</f>
        <v>0.216</v>
      </c>
      <c r="Z12" s="20" t="str">
        <f t="shared" si="2"/>
        <v>Baja</v>
      </c>
      <c r="AA12" s="13">
        <f t="shared" si="3"/>
        <v>0.216</v>
      </c>
      <c r="AB12" s="21" t="str">
        <f t="shared" si="4"/>
        <v>Leve</v>
      </c>
      <c r="AC12" s="13">
        <f t="shared" si="5"/>
        <v>0</v>
      </c>
      <c r="AD12" s="22" t="str">
        <f t="shared" si="6"/>
        <v>Bajo</v>
      </c>
      <c r="AE12" s="12" t="s">
        <v>55</v>
      </c>
      <c r="AF12" s="1"/>
      <c r="AG12" s="1"/>
      <c r="AH12" s="1"/>
      <c r="AI12" s="1"/>
      <c r="AJ12" s="1"/>
      <c r="AK12" s="1"/>
      <c r="AL12" s="1"/>
      <c r="AM12" s="1"/>
      <c r="AN12" s="1"/>
      <c r="AO12" s="1"/>
      <c r="AP12" s="1"/>
      <c r="AQ12" s="1"/>
      <c r="AR12" s="1"/>
      <c r="AS12" s="1"/>
      <c r="AT12" s="1"/>
      <c r="AU12" s="1"/>
      <c r="AV12" s="1"/>
      <c r="AW12" s="1"/>
      <c r="AX12" s="1"/>
      <c r="AY12" s="1"/>
      <c r="AZ12" s="1"/>
      <c r="BA12" s="1"/>
      <c r="BB12" s="1"/>
      <c r="BC12" s="1"/>
    </row>
    <row r="13" spans="1:55" ht="151.5" customHeight="1" x14ac:dyDescent="0.3">
      <c r="A13" s="72">
        <v>2</v>
      </c>
      <c r="B13" s="62" t="s">
        <v>57</v>
      </c>
      <c r="C13" s="75" t="s">
        <v>41</v>
      </c>
      <c r="D13" s="76" t="s">
        <v>58</v>
      </c>
      <c r="E13" s="76" t="s">
        <v>59</v>
      </c>
      <c r="F13" s="77" t="s">
        <v>60</v>
      </c>
      <c r="G13" s="76" t="s">
        <v>61</v>
      </c>
      <c r="H13" s="68">
        <v>100000</v>
      </c>
      <c r="I13" s="81" t="str">
        <f>IF(H13&lt;=0,"",IF(H13&lt;=2,"Muy Baja",IF(H13&lt;=24,"Baja",IF(H13&lt;=500,"Media",IF(H13&lt;=5000,"Alta","Muy Alta")))))</f>
        <v>Muy Alta</v>
      </c>
      <c r="J13" s="59">
        <f>IF(I13="","",IF(I13="Muy Baja",0.2,IF(I13="Baja",0.4,IF(I13="Media",0.6,IF(I13="Alta",0.8,IF(I13="Muy Alta",1,))))))</f>
        <v>1</v>
      </c>
      <c r="K13" s="70" t="s">
        <v>62</v>
      </c>
      <c r="L13" s="59" t="str">
        <f>IF(NOT(ISERROR(MATCH(K13,'[1]Tabla Impacto'!$B$221:$B$223,0))),'[1]Tabla Impacto'!$F$223&amp;"Por favor no seleccionar los criterios de impacto(Afectación Económica o presupuestal y Pérdida Reputacional)",K13)</f>
        <v xml:space="preserve">     Entre 100 y 500 SMLMV </v>
      </c>
      <c r="M13" s="71" t="str">
        <f>IF(OR(L13='[1]Tabla Impacto'!$C$11,L13='[1]Tabla Impacto'!$D$11),"Leve",IF(OR(L13='[1]Tabla Impacto'!$C$12,L13='[1]Tabla Impacto'!$D$12),"Menor",IF(OR(L13='[1]Tabla Impacto'!$C$13,L13='[1]Tabla Impacto'!$D$13),"Moderado",IF(OR(L13='[1]Tabla Impacto'!$C$14,L13='[1]Tabla Impacto'!$D$14),"Mayor",IF(OR(L13='[1]Tabla Impacto'!$C$15,L13='[1]Tabla Impacto'!$D$15),"Catastrófico","")))))</f>
        <v>Mayor</v>
      </c>
      <c r="N13" s="59">
        <f>IF(M13="","",IF(M13="Leve",0.2,IF(M13="Menor",0.4,IF(M13="Moderado",0.6,IF(M13="Mayor",0.8,IF(M13="Catastrófico",1,))))))</f>
        <v>0.8</v>
      </c>
      <c r="O13" s="60" t="str">
        <f>IF(OR(AND(I13="Muy Baja",M13="Leve"),AND(I13="Muy Baja",M13="Menor"),AND(I13="Baja",M13="Leve")),"Bajo",IF(OR(AND(I13="Muy baja",M13="Moderado"),AND(I13="Baja",M13="Menor"),AND(I13="Baja",M13="Moderado"),AND(I13="Media",M13="Leve"),AND(I13="Media",M13="Menor"),AND(I13="Media",M13="Moderado"),AND(I13="Alta",M13="Leve"),AND(I13="Alta",M13="Menor")),"Moderado",IF(OR(AND(I13="Muy Baja",M13="Mayor"),AND(I13="Baja",M13="Mayor"),AND(I13="Media",M13="Mayor"),AND(I13="Alta",M13="Moderado"),AND(I13="Alta",M13="Mayor"),AND(I13="Muy Alta",M13="Leve"),AND(I13="Muy Alta",M13="Menor"),AND(I13="Muy Alta",M13="Moderado"),AND(I13="Muy Alta",M13="Mayor")),"Alto",IF(OR(AND(I13="Muy Baja",M13="Catastrófico"),AND(I13="Baja",M13="Catastrófico"),AND(I13="Media",M13="Catastrófico"),AND(I13="Alta",M13="Catastrófico"),AND(I13="Muy Alta",M13="Catastrófico")),"Extremo",""))))</f>
        <v>Alto</v>
      </c>
      <c r="P13" s="9">
        <v>1</v>
      </c>
      <c r="Q13" s="10" t="s">
        <v>63</v>
      </c>
      <c r="R13" s="11" t="str">
        <f t="shared" si="0"/>
        <v>Probabilidad</v>
      </c>
      <c r="S13" s="12" t="s">
        <v>48</v>
      </c>
      <c r="T13" s="12" t="s">
        <v>49</v>
      </c>
      <c r="U13" s="13" t="str">
        <f t="shared" si="1"/>
        <v>40%</v>
      </c>
      <c r="V13" s="12" t="s">
        <v>50</v>
      </c>
      <c r="W13" s="12" t="s">
        <v>51</v>
      </c>
      <c r="X13" s="12" t="s">
        <v>52</v>
      </c>
      <c r="Y13" s="14">
        <f>IFERROR(IF(R13="Probabilidad",(J13-(+J13*U13)),IF(R13="Impacto",J13,"")),"")</f>
        <v>0.6</v>
      </c>
      <c r="Z13" s="20" t="str">
        <f t="shared" si="2"/>
        <v>Media</v>
      </c>
      <c r="AA13" s="13">
        <f t="shared" si="3"/>
        <v>0.6</v>
      </c>
      <c r="AB13" s="15" t="str">
        <f>IFERROR(IF(AC13="","",IF(AC13&lt;=0.2,"Leve",IF(AC13&lt;=0.4,"Menor",IF(AC13&lt;=0.6,"Moderado",IF(AC13&lt;=0.8,"Mayor","Catastrófico"))))),"")</f>
        <v>Mayor</v>
      </c>
      <c r="AC13" s="13">
        <f t="shared" si="5"/>
        <v>0.8</v>
      </c>
      <c r="AD13" s="24" t="str">
        <f t="shared" si="6"/>
        <v>Alto</v>
      </c>
      <c r="AE13" s="12" t="s">
        <v>55</v>
      </c>
      <c r="AF13" s="1"/>
      <c r="AG13" s="1"/>
      <c r="AH13" s="1"/>
      <c r="AI13" s="1"/>
      <c r="AJ13" s="1"/>
      <c r="AK13" s="1"/>
      <c r="AL13" s="1"/>
      <c r="AM13" s="1"/>
      <c r="AN13" s="1"/>
      <c r="AO13" s="1"/>
      <c r="AP13" s="1"/>
      <c r="AQ13" s="1"/>
      <c r="AR13" s="1"/>
      <c r="AS13" s="1"/>
      <c r="AT13" s="1"/>
      <c r="AU13" s="1"/>
      <c r="AV13" s="1"/>
      <c r="AW13" s="1"/>
      <c r="AX13" s="1"/>
      <c r="AY13" s="1"/>
      <c r="AZ13" s="1"/>
      <c r="BA13" s="1"/>
      <c r="BB13" s="1"/>
      <c r="BC13" s="1"/>
    </row>
    <row r="14" spans="1:55" ht="147.75" customHeight="1" x14ac:dyDescent="0.3">
      <c r="A14" s="72"/>
      <c r="B14" s="74"/>
      <c r="C14" s="75"/>
      <c r="D14" s="76"/>
      <c r="E14" s="76"/>
      <c r="F14" s="77"/>
      <c r="G14" s="76"/>
      <c r="H14" s="68"/>
      <c r="I14" s="81"/>
      <c r="J14" s="59"/>
      <c r="K14" s="70"/>
      <c r="L14" s="59">
        <f ca="1">IF(NOT(ISERROR(MATCH(K14,_xlfn.ANCHORARRAY(F18),0))),#REF!&amp;"Por favor no seleccionar los criterios de impacto",K14)</f>
        <v>0</v>
      </c>
      <c r="M14" s="71"/>
      <c r="N14" s="59"/>
      <c r="O14" s="60"/>
      <c r="P14" s="9">
        <v>2</v>
      </c>
      <c r="Q14" s="10" t="s">
        <v>64</v>
      </c>
      <c r="R14" s="11" t="str">
        <f t="shared" si="0"/>
        <v>Probabilidad</v>
      </c>
      <c r="S14" s="12" t="s">
        <v>48</v>
      </c>
      <c r="T14" s="12" t="s">
        <v>49</v>
      </c>
      <c r="U14" s="13" t="str">
        <f t="shared" si="1"/>
        <v>40%</v>
      </c>
      <c r="V14" s="12" t="s">
        <v>50</v>
      </c>
      <c r="W14" s="12" t="s">
        <v>51</v>
      </c>
      <c r="X14" s="12" t="s">
        <v>52</v>
      </c>
      <c r="Y14" s="14">
        <f>IFERROR(IF(AND(R13="Probabilidad",R14="Probabilidad"),(AA13-(+AA13*U14)),IF(R14="Probabilidad",(J13-(+J13*U14)),IF(R14="Impacto",AA13,""))),"")</f>
        <v>0.36</v>
      </c>
      <c r="Z14" s="20" t="str">
        <f t="shared" si="2"/>
        <v>Baja</v>
      </c>
      <c r="AA14" s="13">
        <f t="shared" si="3"/>
        <v>0.36</v>
      </c>
      <c r="AB14" s="21" t="str">
        <f t="shared" si="4"/>
        <v>Leve</v>
      </c>
      <c r="AC14" s="13">
        <f t="shared" si="5"/>
        <v>0</v>
      </c>
      <c r="AD14" s="22" t="str">
        <f t="shared" si="6"/>
        <v>Bajo</v>
      </c>
      <c r="AE14" s="12" t="s">
        <v>55</v>
      </c>
      <c r="AF14" s="1"/>
      <c r="AG14" s="1"/>
      <c r="AH14" s="1"/>
      <c r="AI14" s="1"/>
      <c r="AJ14" s="1"/>
      <c r="AK14" s="1"/>
      <c r="AL14" s="1"/>
      <c r="AM14" s="1"/>
      <c r="AN14" s="1"/>
      <c r="AO14" s="1"/>
      <c r="AP14" s="1"/>
      <c r="AQ14" s="1"/>
      <c r="AR14" s="1"/>
      <c r="AS14" s="1"/>
      <c r="AT14" s="1"/>
      <c r="AU14" s="1"/>
      <c r="AV14" s="1"/>
      <c r="AW14" s="1"/>
      <c r="AX14" s="1"/>
      <c r="AY14" s="1"/>
      <c r="AZ14" s="1"/>
      <c r="BA14" s="1"/>
      <c r="BB14" s="1"/>
      <c r="BC14" s="1"/>
    </row>
    <row r="15" spans="1:55" ht="102" customHeight="1" x14ac:dyDescent="0.3">
      <c r="A15" s="72">
        <v>3</v>
      </c>
      <c r="B15" s="62" t="s">
        <v>65</v>
      </c>
      <c r="C15" s="75" t="s">
        <v>41</v>
      </c>
      <c r="D15" s="76" t="s">
        <v>66</v>
      </c>
      <c r="E15" s="76" t="s">
        <v>67</v>
      </c>
      <c r="F15" s="77" t="s">
        <v>68</v>
      </c>
      <c r="G15" s="76" t="s">
        <v>61</v>
      </c>
      <c r="H15" s="68">
        <v>20000</v>
      </c>
      <c r="I15" s="79" t="str">
        <f>IF(H15&lt;=0,"",IF(H15&lt;=2,"Muy Baja",IF(H15&lt;=24,"Baja",IF(H15&lt;=500,"Media",IF(H15&lt;=5000,"Alta","Muy Alta")))))</f>
        <v>Muy Alta</v>
      </c>
      <c r="J15" s="59">
        <f>IF(I15="","",IF(I15="Muy Baja",0.2,IF(I15="Baja",0.4,IF(I15="Media",0.6,IF(I15="Alta",0.8,IF(I15="Muy Alta",1,))))))</f>
        <v>1</v>
      </c>
      <c r="K15" s="70" t="s">
        <v>62</v>
      </c>
      <c r="L15" s="59" t="str">
        <f>IF(NOT(ISERROR(MATCH(K15,'[1]Tabla Impacto'!$B$221:$B$223,0))),'[1]Tabla Impacto'!$F$223&amp;"Por favor no seleccionar los criterios de impacto(Afectación Económica o presupuestal y Pérdida Reputacional)",K15)</f>
        <v xml:space="preserve">     Entre 100 y 500 SMLMV </v>
      </c>
      <c r="M15" s="71" t="str">
        <f>IF(OR(L15='[1]Tabla Impacto'!$C$11,L15='[1]Tabla Impacto'!$D$11),"Leve",IF(OR(L15='[1]Tabla Impacto'!$C$12,L15='[1]Tabla Impacto'!$D$12),"Menor",IF(OR(L15='[1]Tabla Impacto'!$C$13,L15='[1]Tabla Impacto'!$D$13),"Moderado",IF(OR(L15='[1]Tabla Impacto'!$C$14,L15='[1]Tabla Impacto'!$D$14),"Mayor",IF(OR(L15='[1]Tabla Impacto'!$C$15,L15='[1]Tabla Impacto'!$D$15),"Catastrófico","")))))</f>
        <v>Mayor</v>
      </c>
      <c r="N15" s="59">
        <f>IF(M15="","",IF(M15="Leve",0.2,IF(M15="Menor",0.4,IF(M15="Moderado",0.6,IF(M15="Mayor",0.8,IF(M15="Catastrófico",1,))))))</f>
        <v>0.8</v>
      </c>
      <c r="O15" s="60" t="str">
        <f>IF(OR(AND(I15="Muy Baja",M15="Leve"),AND(I15="Muy Baja",M15="Menor"),AND(I15="Baja",M15="Leve")),"Bajo",IF(OR(AND(I15="Muy baja",M15="Moderado"),AND(I15="Baja",M15="Menor"),AND(I15="Baja",M15="Moderado"),AND(I15="Media",M15="Leve"),AND(I15="Media",M15="Menor"),AND(I15="Media",M15="Moderado"),AND(I15="Alta",M15="Leve"),AND(I15="Alta",M15="Menor")),"Moderado",IF(OR(AND(I15="Muy Baja",M15="Mayor"),AND(I15="Baja",M15="Mayor"),AND(I15="Media",M15="Mayor"),AND(I15="Alta",M15="Moderado"),AND(I15="Alta",M15="Mayor"),AND(I15="Muy Alta",M15="Leve"),AND(I15="Muy Alta",M15="Menor"),AND(I15="Muy Alta",M15="Moderado"),AND(I15="Muy Alta",M15="Mayor")),"Alto",IF(OR(AND(I15="Muy Baja",M15="Catastrófico"),AND(I15="Baja",M15="Catastrófico"),AND(I15="Media",M15="Catastrófico"),AND(I15="Alta",M15="Catastrófico"),AND(I15="Muy Alta",M15="Catastrófico")),"Extremo",""))))</f>
        <v>Alto</v>
      </c>
      <c r="P15" s="9">
        <v>1</v>
      </c>
      <c r="Q15" s="10" t="s">
        <v>69</v>
      </c>
      <c r="R15" s="11" t="str">
        <f t="shared" si="0"/>
        <v>Probabilidad</v>
      </c>
      <c r="S15" s="12" t="s">
        <v>48</v>
      </c>
      <c r="T15" s="12" t="s">
        <v>49</v>
      </c>
      <c r="U15" s="13" t="str">
        <f t="shared" si="1"/>
        <v>40%</v>
      </c>
      <c r="V15" s="12" t="s">
        <v>50</v>
      </c>
      <c r="W15" s="12" t="s">
        <v>51</v>
      </c>
      <c r="X15" s="12" t="s">
        <v>52</v>
      </c>
      <c r="Y15" s="14">
        <f>IFERROR(IF(R15="Probabilidad",(J15-(+J15*U15)),IF(R15="Impacto",J15,"")),"")</f>
        <v>0.6</v>
      </c>
      <c r="Z15" s="20" t="str">
        <f t="shared" si="2"/>
        <v>Media</v>
      </c>
      <c r="AA15" s="13">
        <f t="shared" si="3"/>
        <v>0.6</v>
      </c>
      <c r="AB15" s="15" t="str">
        <f>IFERROR(IF(AC15="","",IF(AC15&lt;=0.2,"Leve",IF(AC15&lt;=0.4,"Menor",IF(AC15&lt;=0.6,"Moderado",IF(AC15&lt;=0.8,"Mayor","Catastrófico"))))),"")</f>
        <v>Mayor</v>
      </c>
      <c r="AC15" s="13">
        <f t="shared" si="5"/>
        <v>0.8</v>
      </c>
      <c r="AD15" s="24" t="str">
        <f t="shared" si="6"/>
        <v>Alto</v>
      </c>
      <c r="AE15" s="12" t="s">
        <v>55</v>
      </c>
      <c r="AF15" s="1"/>
      <c r="AG15" s="1"/>
      <c r="AH15" s="1"/>
      <c r="AI15" s="1"/>
      <c r="AJ15" s="1"/>
      <c r="AK15" s="1"/>
      <c r="AL15" s="1"/>
      <c r="AM15" s="1"/>
      <c r="AN15" s="1"/>
      <c r="AO15" s="1"/>
      <c r="AP15" s="1"/>
      <c r="AQ15" s="1"/>
      <c r="AR15" s="1"/>
      <c r="AS15" s="1"/>
      <c r="AT15" s="1"/>
      <c r="AU15" s="1"/>
      <c r="AV15" s="1"/>
      <c r="AW15" s="1"/>
      <c r="AX15" s="1"/>
      <c r="AY15" s="1"/>
      <c r="AZ15" s="1"/>
      <c r="BA15" s="1"/>
      <c r="BB15" s="1"/>
      <c r="BC15" s="1"/>
    </row>
    <row r="16" spans="1:55" ht="75.75" customHeight="1" x14ac:dyDescent="0.3">
      <c r="A16" s="72"/>
      <c r="B16" s="73"/>
      <c r="C16" s="75"/>
      <c r="D16" s="76"/>
      <c r="E16" s="76"/>
      <c r="F16" s="77"/>
      <c r="G16" s="76"/>
      <c r="H16" s="68"/>
      <c r="I16" s="79"/>
      <c r="J16" s="59"/>
      <c r="K16" s="70"/>
      <c r="L16" s="59">
        <f ca="1">IF(NOT(ISERROR(MATCH(K16,_xlfn.ANCHORARRAY(F19),0))),#REF!&amp;"Por favor no seleccionar los criterios de impacto",K16)</f>
        <v>0</v>
      </c>
      <c r="M16" s="71"/>
      <c r="N16" s="59"/>
      <c r="O16" s="60"/>
      <c r="P16" s="9">
        <v>2</v>
      </c>
      <c r="Q16" s="10" t="s">
        <v>70</v>
      </c>
      <c r="R16" s="11" t="str">
        <f t="shared" si="0"/>
        <v>Probabilidad</v>
      </c>
      <c r="S16" s="12" t="s">
        <v>48</v>
      </c>
      <c r="T16" s="12" t="s">
        <v>49</v>
      </c>
      <c r="U16" s="13" t="str">
        <f t="shared" si="1"/>
        <v>40%</v>
      </c>
      <c r="V16" s="12" t="s">
        <v>50</v>
      </c>
      <c r="W16" s="12" t="s">
        <v>51</v>
      </c>
      <c r="X16" s="12" t="s">
        <v>52</v>
      </c>
      <c r="Y16" s="25">
        <f>IFERROR(IF(AND(R15="Probabilidad",R16="Probabilidad"),(AA15-(+AA15*U16)),IF(R16="Probabilidad",(J15-(+J15*U16)),IF(R16="Impacto",AA15,""))),"")</f>
        <v>0.36</v>
      </c>
      <c r="Z16" s="20" t="str">
        <f t="shared" si="2"/>
        <v>Baja</v>
      </c>
      <c r="AA16" s="13">
        <f t="shared" si="3"/>
        <v>0.36</v>
      </c>
      <c r="AB16" s="20" t="str">
        <f t="shared" si="4"/>
        <v>Leve</v>
      </c>
      <c r="AC16" s="13">
        <f t="shared" si="5"/>
        <v>0</v>
      </c>
      <c r="AD16" s="22" t="str">
        <f t="shared" si="6"/>
        <v>Bajo</v>
      </c>
      <c r="AE16" s="12" t="s">
        <v>55</v>
      </c>
      <c r="AF16" s="1"/>
      <c r="AG16" s="1"/>
      <c r="AH16" s="1"/>
      <c r="AI16" s="1"/>
      <c r="AJ16" s="1"/>
      <c r="AK16" s="1"/>
      <c r="AL16" s="1"/>
      <c r="AM16" s="1"/>
      <c r="AN16" s="1"/>
      <c r="AO16" s="1"/>
      <c r="AP16" s="1"/>
      <c r="AQ16" s="1"/>
      <c r="AR16" s="1"/>
      <c r="AS16" s="1"/>
      <c r="AT16" s="1"/>
      <c r="AU16" s="1"/>
      <c r="AV16" s="1"/>
      <c r="AW16" s="1"/>
      <c r="AX16" s="1"/>
      <c r="AY16" s="1"/>
      <c r="AZ16" s="1"/>
      <c r="BA16" s="1"/>
      <c r="BB16" s="1"/>
      <c r="BC16" s="1"/>
    </row>
    <row r="17" spans="1:55" ht="92.25" customHeight="1" x14ac:dyDescent="0.3">
      <c r="A17" s="72"/>
      <c r="B17" s="73"/>
      <c r="C17" s="75"/>
      <c r="D17" s="76"/>
      <c r="E17" s="76"/>
      <c r="F17" s="77"/>
      <c r="G17" s="76"/>
      <c r="H17" s="68"/>
      <c r="I17" s="79"/>
      <c r="J17" s="59"/>
      <c r="K17" s="70"/>
      <c r="L17" s="59">
        <f ca="1">IF(NOT(ISERROR(MATCH(K17,_xlfn.ANCHORARRAY(#REF!),0))),#REF!&amp;"Por favor no seleccionar los criterios de impacto",K17)</f>
        <v>0</v>
      </c>
      <c r="M17" s="71"/>
      <c r="N17" s="59"/>
      <c r="O17" s="60"/>
      <c r="P17" s="9">
        <v>3</v>
      </c>
      <c r="Q17" s="23" t="s">
        <v>71</v>
      </c>
      <c r="R17" s="11" t="str">
        <f t="shared" si="0"/>
        <v>Probabilidad</v>
      </c>
      <c r="S17" s="12" t="s">
        <v>48</v>
      </c>
      <c r="T17" s="12" t="s">
        <v>49</v>
      </c>
      <c r="U17" s="13" t="str">
        <f t="shared" si="1"/>
        <v>40%</v>
      </c>
      <c r="V17" s="12" t="s">
        <v>50</v>
      </c>
      <c r="W17" s="12" t="s">
        <v>51</v>
      </c>
      <c r="X17" s="12" t="s">
        <v>52</v>
      </c>
      <c r="Y17" s="14">
        <f>IFERROR(IF(AND(R16="Probabilidad",R17="Probabilidad"),(AA16-(+AA16*U17)),IF(AND(R16="Impacto",R17="Probabilidad"),(AA15-(+AA15*U17)),IF(R17="Impacto",AA16,""))),"")</f>
        <v>0.216</v>
      </c>
      <c r="Z17" s="20" t="str">
        <f t="shared" si="2"/>
        <v>Baja</v>
      </c>
      <c r="AA17" s="13">
        <f t="shared" si="3"/>
        <v>0.216</v>
      </c>
      <c r="AB17" s="21" t="str">
        <f t="shared" si="4"/>
        <v>Leve</v>
      </c>
      <c r="AC17" s="13">
        <f t="shared" si="5"/>
        <v>0</v>
      </c>
      <c r="AD17" s="22" t="str">
        <f t="shared" si="6"/>
        <v>Bajo</v>
      </c>
      <c r="AE17" s="12" t="s">
        <v>55</v>
      </c>
      <c r="AF17" s="1"/>
      <c r="AG17" s="1"/>
      <c r="AH17" s="1"/>
      <c r="AI17" s="1"/>
      <c r="AJ17" s="1"/>
      <c r="AK17" s="1"/>
      <c r="AL17" s="1"/>
      <c r="AM17" s="1"/>
      <c r="AN17" s="1"/>
      <c r="AO17" s="1"/>
      <c r="AP17" s="1"/>
      <c r="AQ17" s="1"/>
      <c r="AR17" s="1"/>
      <c r="AS17" s="1"/>
      <c r="AT17" s="1"/>
      <c r="AU17" s="1"/>
      <c r="AV17" s="1"/>
      <c r="AW17" s="1"/>
      <c r="AX17" s="1"/>
      <c r="AY17" s="1"/>
      <c r="AZ17" s="1"/>
      <c r="BA17" s="1"/>
      <c r="BB17" s="1"/>
      <c r="BC17" s="1"/>
    </row>
    <row r="18" spans="1:55" ht="151.5" customHeight="1" x14ac:dyDescent="0.3">
      <c r="A18" s="26">
        <v>4</v>
      </c>
      <c r="B18" s="27" t="s">
        <v>72</v>
      </c>
      <c r="C18" s="28" t="s">
        <v>41</v>
      </c>
      <c r="D18" s="29" t="s">
        <v>73</v>
      </c>
      <c r="E18" s="29" t="s">
        <v>74</v>
      </c>
      <c r="F18" s="30" t="s">
        <v>75</v>
      </c>
      <c r="G18" s="29" t="s">
        <v>61</v>
      </c>
      <c r="H18" s="31">
        <v>200</v>
      </c>
      <c r="I18" s="32" t="str">
        <f>IF(H18&lt;=0,"",IF(H18&lt;=2,"Muy Baja",IF(H18&lt;=24,"Baja",IF(H18&lt;=500,"Media",IF(H18&lt;=5000,"Alta","Muy Alta")))))</f>
        <v>Media</v>
      </c>
      <c r="J18" s="33">
        <f>IF(I18="","",IF(I18="Muy Baja",0.2,IF(I18="Baja",0.4,IF(I18="Media",0.6,IF(I18="Alta",0.8,IF(I18="Muy Alta",1,))))))</f>
        <v>0.6</v>
      </c>
      <c r="K18" s="34" t="s">
        <v>62</v>
      </c>
      <c r="L18" s="33" t="str">
        <f>IF(NOT(ISERROR(MATCH(K18,'[1]Tabla Impacto'!$B$221:$B$223,0))),'[1]Tabla Impacto'!$F$223&amp;"Por favor no seleccionar los criterios de impacto(Afectación Económica o presupuestal y Pérdida Reputacional)",K18)</f>
        <v xml:space="preserve">     Entre 100 y 500 SMLMV </v>
      </c>
      <c r="M18" s="35" t="str">
        <f>IF(OR(L18='[1]Tabla Impacto'!$C$11,L18='[1]Tabla Impacto'!$D$11),"Leve",IF(OR(L18='[1]Tabla Impacto'!$C$12,L18='[1]Tabla Impacto'!$D$12),"Menor",IF(OR(L18='[1]Tabla Impacto'!$C$13,L18='[1]Tabla Impacto'!$D$13),"Moderado",IF(OR(L18='[1]Tabla Impacto'!$C$14,L18='[1]Tabla Impacto'!$D$14),"Mayor",IF(OR(L18='[1]Tabla Impacto'!$C$15,L18='[1]Tabla Impacto'!$D$15),"Catastrófico","")))))</f>
        <v>Mayor</v>
      </c>
      <c r="N18" s="33">
        <f>IF(M18="","",IF(M18="Leve",0.2,IF(M18="Menor",0.4,IF(M18="Moderado",0.6,IF(M18="Mayor",0.8,IF(M18="Catastrófico",1,))))))</f>
        <v>0.8</v>
      </c>
      <c r="O18" s="36" t="str">
        <f>IF(OR(AND(I18="Muy Baja",M18="Leve"),AND(I18="Muy Baja",M18="Menor"),AND(I18="Baja",M18="Leve")),"Bajo",IF(OR(AND(I18="Muy baja",M18="Moderado"),AND(I18="Baja",M18="Menor"),AND(I18="Baja",M18="Moderado"),AND(I18="Media",M18="Leve"),AND(I18="Media",M18="Menor"),AND(I18="Media",M18="Moderado"),AND(I18="Alta",M18="Leve"),AND(I18="Alta",M18="Menor")),"Moderado",IF(OR(AND(I18="Muy Baja",M18="Mayor"),AND(I18="Baja",M18="Mayor"),AND(I18="Media",M18="Mayor"),AND(I18="Alta",M18="Moderado"),AND(I18="Alta",M18="Mayor"),AND(I18="Muy Alta",M18="Leve"),AND(I18="Muy Alta",M18="Menor"),AND(I18="Muy Alta",M18="Moderado"),AND(I18="Muy Alta",M18="Mayor")),"Alto",IF(OR(AND(I18="Muy Baja",M18="Catastrófico"),AND(I18="Baja",M18="Catastrófico"),AND(I18="Media",M18="Catastrófico"),AND(I18="Alta",M18="Catastrófico"),AND(I18="Muy Alta",M18="Catastrófico")),"Extremo",""))))</f>
        <v>Alto</v>
      </c>
      <c r="P18" s="9">
        <v>1</v>
      </c>
      <c r="Q18" s="10" t="s">
        <v>76</v>
      </c>
      <c r="R18" s="11" t="str">
        <f t="shared" si="0"/>
        <v>Probabilidad</v>
      </c>
      <c r="S18" s="12" t="s">
        <v>48</v>
      </c>
      <c r="T18" s="12" t="s">
        <v>49</v>
      </c>
      <c r="U18" s="13" t="str">
        <f t="shared" si="1"/>
        <v>40%</v>
      </c>
      <c r="V18" s="12" t="s">
        <v>50</v>
      </c>
      <c r="W18" s="12" t="s">
        <v>51</v>
      </c>
      <c r="X18" s="12" t="s">
        <v>77</v>
      </c>
      <c r="Y18" s="14">
        <f>IFERROR(IF(R18="Probabilidad",(J18-(+J18*U18)),IF(R18="Impacto",J18,"")),"")</f>
        <v>0.36</v>
      </c>
      <c r="Z18" s="20" t="str">
        <f t="shared" si="2"/>
        <v>Baja</v>
      </c>
      <c r="AA18" s="13">
        <f t="shared" si="3"/>
        <v>0.36</v>
      </c>
      <c r="AB18" s="15" t="str">
        <f>IFERROR(IF(AC18="","",IF(AC18&lt;=0.2,"Leve",IF(AC18&lt;=0.4,"Menor",IF(AC18&lt;=0.6,"Moderado",IF(AC18&lt;=0.8,"Mayor","Catastrófico"))))),"")</f>
        <v>Mayor</v>
      </c>
      <c r="AC18" s="13">
        <f t="shared" si="5"/>
        <v>0.8</v>
      </c>
      <c r="AD18" s="24" t="str">
        <f t="shared" si="6"/>
        <v>Alto</v>
      </c>
      <c r="AE18" s="12" t="s">
        <v>55</v>
      </c>
      <c r="AF18" s="1"/>
      <c r="AG18" s="1"/>
      <c r="AH18" s="1"/>
      <c r="AI18" s="1"/>
      <c r="AJ18" s="1"/>
      <c r="AK18" s="1"/>
      <c r="AL18" s="1"/>
      <c r="AM18" s="1"/>
      <c r="AN18" s="1"/>
      <c r="AO18" s="1"/>
      <c r="AP18" s="1"/>
      <c r="AQ18" s="1"/>
      <c r="AR18" s="1"/>
      <c r="AS18" s="1"/>
      <c r="AT18" s="1"/>
      <c r="AU18" s="1"/>
      <c r="AV18" s="1"/>
      <c r="AW18" s="1"/>
      <c r="AX18" s="1"/>
      <c r="AY18" s="1"/>
      <c r="AZ18" s="1"/>
      <c r="BA18" s="1"/>
      <c r="BB18" s="1"/>
      <c r="BC18" s="1"/>
    </row>
    <row r="19" spans="1:55" ht="210" customHeight="1" x14ac:dyDescent="0.3">
      <c r="A19" s="26">
        <v>5</v>
      </c>
      <c r="B19" s="27" t="s">
        <v>78</v>
      </c>
      <c r="C19" s="28" t="s">
        <v>41</v>
      </c>
      <c r="D19" s="29" t="s">
        <v>79</v>
      </c>
      <c r="E19" s="29" t="s">
        <v>80</v>
      </c>
      <c r="F19" s="30" t="s">
        <v>81</v>
      </c>
      <c r="G19" s="29" t="s">
        <v>61</v>
      </c>
      <c r="H19" s="31">
        <v>300</v>
      </c>
      <c r="I19" s="32" t="str">
        <f>IF(H19&lt;=0,"",IF(H19&lt;=2,"Muy Baja",IF(H19&lt;=24,"Baja",IF(H19&lt;=500,"Media",IF(H19&lt;=5000,"Alta","Muy Alta")))))</f>
        <v>Media</v>
      </c>
      <c r="J19" s="33">
        <f>IF(I19="","",IF(I19="Muy Baja",0.2,IF(I19="Baja",0.4,IF(I19="Media",0.6,IF(I19="Alta",0.8,IF(I19="Muy Alta",1,))))))</f>
        <v>0.6</v>
      </c>
      <c r="K19" s="34" t="s">
        <v>62</v>
      </c>
      <c r="L19" s="33" t="str">
        <f>IF(NOT(ISERROR(MATCH(K19,'[1]Tabla Impacto'!$B$221:$B$223,0))),'[1]Tabla Impacto'!$F$223&amp;"Por favor no seleccionar los criterios de impacto(Afectación Económica o presupuestal y Pérdida Reputacional)",K19)</f>
        <v xml:space="preserve">     Entre 100 y 500 SMLMV </v>
      </c>
      <c r="M19" s="35" t="str">
        <f>IF(OR(L19='[1]Tabla Impacto'!$C$11,L19='[1]Tabla Impacto'!$D$11),"Leve",IF(OR(L19='[1]Tabla Impacto'!$C$12,L19='[1]Tabla Impacto'!$D$12),"Menor",IF(OR(L19='[1]Tabla Impacto'!$C$13,L19='[1]Tabla Impacto'!$D$13),"Moderado",IF(OR(L19='[1]Tabla Impacto'!$C$14,L19='[1]Tabla Impacto'!$D$14),"Mayor",IF(OR(L19='[1]Tabla Impacto'!$C$15,L19='[1]Tabla Impacto'!$D$15),"Catastrófico","")))))</f>
        <v>Mayor</v>
      </c>
      <c r="N19" s="33">
        <f>IF(M19="","",IF(M19="Leve",0.2,IF(M19="Menor",0.4,IF(M19="Moderado",0.6,IF(M19="Mayor",0.8,IF(M19="Catastrófico",1,))))))</f>
        <v>0.8</v>
      </c>
      <c r="O19" s="36" t="str">
        <f>IF(OR(AND(I19="Muy Baja",M19="Leve"),AND(I19="Muy Baja",M19="Menor"),AND(I19="Baja",M19="Leve")),"Bajo",IF(OR(AND(I19="Muy baja",M19="Moderado"),AND(I19="Baja",M19="Menor"),AND(I19="Baja",M19="Moderado"),AND(I19="Media",M19="Leve"),AND(I19="Media",M19="Menor"),AND(I19="Media",M19="Moderado"),AND(I19="Alta",M19="Leve"),AND(I19="Alta",M19="Menor")),"Moderado",IF(OR(AND(I19="Muy Baja",M19="Mayor"),AND(I19="Baja",M19="Mayor"),AND(I19="Media",M19="Mayor"),AND(I19="Alta",M19="Moderado"),AND(I19="Alta",M19="Mayor"),AND(I19="Muy Alta",M19="Leve"),AND(I19="Muy Alta",M19="Menor"),AND(I19="Muy Alta",M19="Moderado"),AND(I19="Muy Alta",M19="Mayor")),"Alto",IF(OR(AND(I19="Muy Baja",M19="Catastrófico"),AND(I19="Baja",M19="Catastrófico"),AND(I19="Media",M19="Catastrófico"),AND(I19="Alta",M19="Catastrófico"),AND(I19="Muy Alta",M19="Catastrófico")),"Extremo",""))))</f>
        <v>Alto</v>
      </c>
      <c r="P19" s="9">
        <v>1</v>
      </c>
      <c r="Q19" s="10" t="s">
        <v>82</v>
      </c>
      <c r="R19" s="11" t="str">
        <f t="shared" si="0"/>
        <v>Probabilidad</v>
      </c>
      <c r="S19" s="12" t="s">
        <v>48</v>
      </c>
      <c r="T19" s="12" t="s">
        <v>49</v>
      </c>
      <c r="U19" s="13" t="str">
        <f t="shared" si="1"/>
        <v>40%</v>
      </c>
      <c r="V19" s="12" t="s">
        <v>50</v>
      </c>
      <c r="W19" s="12" t="s">
        <v>51</v>
      </c>
      <c r="X19" s="12" t="s">
        <v>52</v>
      </c>
      <c r="Y19" s="14">
        <f>IFERROR(IF(R19="Probabilidad",(J19-(+J19*U19)),IF(R19="Impacto",J19,"")),"")</f>
        <v>0.36</v>
      </c>
      <c r="Z19" s="20" t="str">
        <f t="shared" si="2"/>
        <v>Baja</v>
      </c>
      <c r="AA19" s="13">
        <f t="shared" si="3"/>
        <v>0.36</v>
      </c>
      <c r="AB19" s="15" t="str">
        <f>IFERROR(IF(AC19="","",IF(AC19&lt;=0.2,"Leve",IF(AC19&lt;=0.4,"Menor",IF(AC19&lt;=0.6,"Moderado",IF(AC19&lt;=0.8,"Mayor","Catastrófico"))))),"")</f>
        <v>Mayor</v>
      </c>
      <c r="AC19" s="13">
        <f t="shared" si="5"/>
        <v>0.8</v>
      </c>
      <c r="AD19" s="24" t="str">
        <f t="shared" si="6"/>
        <v>Alto</v>
      </c>
      <c r="AE19" s="12" t="s">
        <v>55</v>
      </c>
      <c r="AF19" s="1"/>
      <c r="AG19" s="1"/>
      <c r="AH19" s="1"/>
      <c r="AI19" s="1"/>
      <c r="AJ19" s="1"/>
      <c r="AK19" s="1"/>
      <c r="AL19" s="1"/>
      <c r="AM19" s="1"/>
      <c r="AN19" s="1"/>
      <c r="AO19" s="1"/>
      <c r="AP19" s="1"/>
      <c r="AQ19" s="1"/>
      <c r="AR19" s="1"/>
      <c r="AS19" s="1"/>
      <c r="AT19" s="1"/>
      <c r="AU19" s="1"/>
      <c r="AV19" s="1"/>
      <c r="AW19" s="1"/>
      <c r="AX19" s="1"/>
      <c r="AY19" s="1"/>
      <c r="AZ19" s="1"/>
      <c r="BA19" s="1"/>
      <c r="BB19" s="1"/>
      <c r="BC19" s="1"/>
    </row>
    <row r="20" spans="1:55" ht="169.5" customHeight="1" x14ac:dyDescent="0.3">
      <c r="A20" s="61">
        <v>6</v>
      </c>
      <c r="B20" s="62" t="s">
        <v>83</v>
      </c>
      <c r="C20" s="64" t="s">
        <v>41</v>
      </c>
      <c r="D20" s="64" t="s">
        <v>84</v>
      </c>
      <c r="E20" s="64" t="s">
        <v>85</v>
      </c>
      <c r="F20" s="65" t="s">
        <v>86</v>
      </c>
      <c r="G20" s="64" t="s">
        <v>87</v>
      </c>
      <c r="H20" s="31">
        <v>800</v>
      </c>
      <c r="I20" s="35" t="str">
        <f>IF(H20&lt;=0,"",IF(H20&lt;=2,"Muy Baja",IF(H20&lt;=24,"Baja",IF(H20&lt;=500,"Media",IF(H20&lt;=5000,"Alta","Muy Alta")))))</f>
        <v>Alta</v>
      </c>
      <c r="J20" s="33">
        <f>IF(I20="","",IF(I20="Muy Baja",0.2,IF(I20="Baja",0.4,IF(I20="Media",0.6,IF(I20="Alta",0.8,IF(I20="Muy Alta",1,))))))</f>
        <v>0.8</v>
      </c>
      <c r="K20" s="34" t="s">
        <v>62</v>
      </c>
      <c r="L20" s="33"/>
      <c r="M20" s="35" t="s">
        <v>88</v>
      </c>
      <c r="N20" s="33">
        <f>IF(M20="","",IF(M20="Leve",0.2,IF(M20="Menor",0.4,IF(M20="Moderado",0.6,IF(M20="Mayor",0.8,IF(M20="Catastrófico",1,))))))</f>
        <v>0.8</v>
      </c>
      <c r="O20" s="36" t="str">
        <f>IF(OR(AND(I20="Muy Baja",M20="Leve"),AND(I20="Muy Baja",M20="Menor"),AND(I20="Baja",M20="Leve")),"Bajo",IF(OR(AND(I20="Muy baja",M20="Moderado"),AND(I20="Baja",M20="Menor"),AND(I20="Baja",M20="Moderado"),AND(I20="Media",M20="Leve"),AND(I20="Media",M20="Menor"),AND(I20="Media",M20="Moderado"),AND(I20="Alta",M20="Leve"),AND(I20="Alta",M20="Menor")),"Moderado",IF(OR(AND(I20="Muy Baja",M20="Mayor"),AND(I20="Baja",M20="Mayor"),AND(I20="Media",M20="Mayor"),AND(I20="Alta",M20="Moderado"),AND(I20="Alta",M20="Mayor"),AND(I20="Muy Alta",M20="Leve"),AND(I20="Muy Alta",M20="Menor"),AND(I20="Muy Alta",M20="Moderado"),AND(I20="Muy Alta",M20="Mayor")),"Alto",IF(OR(AND(I20="Muy Baja",M20="Catastrófico"),AND(I20="Baja",M20="Catastrófico"),AND(I20="Media",M20="Catastrófico"),AND(I20="Alta",M20="Catastrófico"),AND(I20="Muy Alta",M20="Catastrófico")),"Extremo",""))))</f>
        <v>Alto</v>
      </c>
      <c r="P20" s="9">
        <v>1</v>
      </c>
      <c r="Q20" s="10" t="s">
        <v>89</v>
      </c>
      <c r="R20" s="11" t="str">
        <f t="shared" si="0"/>
        <v>Probabilidad</v>
      </c>
      <c r="S20" s="12" t="s">
        <v>48</v>
      </c>
      <c r="T20" s="12" t="s">
        <v>49</v>
      </c>
      <c r="U20" s="13" t="str">
        <f t="shared" si="1"/>
        <v>40%</v>
      </c>
      <c r="V20" s="12" t="s">
        <v>50</v>
      </c>
      <c r="W20" s="12" t="s">
        <v>51</v>
      </c>
      <c r="X20" s="12" t="s">
        <v>52</v>
      </c>
      <c r="Y20" s="14">
        <f>IFERROR(IF(R20="Probabilidad",(J20-(+J20*U20)),IF(R20="Impacto",J20,"")),"")</f>
        <v>0.48</v>
      </c>
      <c r="Z20" s="20" t="str">
        <f t="shared" si="2"/>
        <v>Media</v>
      </c>
      <c r="AA20" s="13">
        <f t="shared" si="3"/>
        <v>0.48</v>
      </c>
      <c r="AB20" s="15" t="str">
        <f>IFERROR(IF(AC20="","",IF(AC20&lt;=0.2,"Leve",IF(AC20&lt;=0.4,"Menor",IF(AC20&lt;=0.6,"Moderado",IF(AC20&lt;=0.8,"Mayor","Catastrófico"))))),"")</f>
        <v>Mayor</v>
      </c>
      <c r="AC20" s="13">
        <f t="shared" si="5"/>
        <v>0.8</v>
      </c>
      <c r="AD20" s="24" t="str">
        <f t="shared" si="6"/>
        <v>Alto</v>
      </c>
      <c r="AE20" s="12" t="s">
        <v>55</v>
      </c>
      <c r="AF20" s="1"/>
      <c r="AG20" s="1"/>
      <c r="AH20" s="1"/>
      <c r="AI20" s="37" t="s">
        <v>90</v>
      </c>
      <c r="AJ20" s="1"/>
      <c r="AK20" s="38" t="s">
        <v>91</v>
      </c>
      <c r="AL20" s="38" t="s">
        <v>92</v>
      </c>
      <c r="AM20" s="1"/>
      <c r="AN20" s="1"/>
      <c r="AO20" s="1"/>
      <c r="AP20" s="1"/>
      <c r="AQ20" s="1"/>
      <c r="AR20" s="1"/>
      <c r="AS20" s="1"/>
      <c r="AT20" s="1"/>
      <c r="AU20" s="1"/>
      <c r="AV20" s="1"/>
      <c r="AW20" s="1"/>
      <c r="AX20" s="1"/>
      <c r="AY20" s="1"/>
      <c r="AZ20" s="1"/>
      <c r="BA20" s="1"/>
      <c r="BB20" s="1"/>
      <c r="BC20" s="1"/>
    </row>
    <row r="21" spans="1:55" ht="145.5" customHeight="1" x14ac:dyDescent="0.3">
      <c r="A21" s="55"/>
      <c r="B21" s="74"/>
      <c r="C21" s="78"/>
      <c r="D21" s="78"/>
      <c r="E21" s="78"/>
      <c r="F21" s="55"/>
      <c r="G21" s="55"/>
      <c r="H21" s="31">
        <v>800</v>
      </c>
      <c r="I21" s="35" t="str">
        <f>IF(H21&lt;=0,"",IF(H21&lt;=2,"Muy Baja",IF(H21&lt;=24,"Baja",IF(H21&lt;=500,"Media",IF(H21&lt;=5000,"Alta","Muy Alta")))))</f>
        <v>Alta</v>
      </c>
      <c r="J21" s="33">
        <f>IF(I21="","",IF(I21="Muy Baja",0.2,IF(I21="Baja",0.4,IF(I21="Media",0.6,IF(I21="Alta",0.8,IF(I21="Muy Alta",1,))))))</f>
        <v>0.8</v>
      </c>
      <c r="K21" s="34" t="s">
        <v>62</v>
      </c>
      <c r="L21" s="33" t="str">
        <f>IF(NOT(ISERROR(MATCH(K21,'[1]Tabla Impacto'!$B$221:$B$223,0))),'[1]Tabla Impacto'!$F$223&amp;"Por favor no seleccionar los criterios de impacto(Afectación Económica o presupuestal y Pérdida Reputacional)",K21)</f>
        <v xml:space="preserve">     Entre 100 y 500 SMLMV </v>
      </c>
      <c r="M21" s="35" t="str">
        <f>IF(OR(L21='[1]Tabla Impacto'!$C$11,L21='[1]Tabla Impacto'!$D$11),"Leve",IF(OR(L21='[1]Tabla Impacto'!$C$12,L21='[1]Tabla Impacto'!$D$12),"Menor",IF(OR(L21='[1]Tabla Impacto'!$C$13,L21='[1]Tabla Impacto'!$D$13),"Moderado",IF(OR(L21='[1]Tabla Impacto'!$C$14,L21='[1]Tabla Impacto'!$D$14),"Mayor",IF(OR(L21='[1]Tabla Impacto'!$C$15,L21='[1]Tabla Impacto'!$D$15),"Catastrófico","")))))</f>
        <v>Mayor</v>
      </c>
      <c r="N21" s="33">
        <f>IF(M21="","",IF(M21="Leve",0.2,IF(M21="Menor",0.4,IF(M21="Moderado",0.6,IF(M21="Mayor",0.8,IF(M21="Catastrófico",1,))))))</f>
        <v>0.8</v>
      </c>
      <c r="O21" s="36" t="str">
        <f>IF(OR(AND(I21="Muy Baja",M21="Leve"),AND(I21="Muy Baja",M21="Menor"),AND(I21="Baja",M21="Leve")),"Bajo",IF(OR(AND(I21="Muy baja",M21="Moderado"),AND(I21="Baja",M21="Menor"),AND(I21="Baja",M21="Moderado"),AND(I21="Media",M21="Leve"),AND(I21="Media",M21="Menor"),AND(I21="Media",M21="Moderado"),AND(I21="Alta",M21="Leve"),AND(I21="Alta",M21="Menor")),"Moderado",IF(OR(AND(I21="Muy Baja",M21="Mayor"),AND(I21="Baja",M21="Mayor"),AND(I21="Media",M21="Mayor"),AND(I21="Alta",M21="Moderado"),AND(I21="Alta",M21="Mayor"),AND(I21="Muy Alta",M21="Leve"),AND(I21="Muy Alta",M21="Menor"),AND(I21="Muy Alta",M21="Moderado"),AND(I21="Muy Alta",M21="Mayor")),"Alto",IF(OR(AND(I21="Muy Baja",M21="Catastrófico"),AND(I21="Baja",M21="Catastrófico"),AND(I21="Media",M21="Catastrófico"),AND(I21="Alta",M21="Catastrófico"),AND(I21="Muy Alta",M21="Catastrófico")),"Extremo",""))))</f>
        <v>Alto</v>
      </c>
      <c r="P21" s="9">
        <v>2</v>
      </c>
      <c r="Q21" s="39" t="s">
        <v>93</v>
      </c>
      <c r="R21" s="40" t="str">
        <f t="shared" si="0"/>
        <v>Probabilidad</v>
      </c>
      <c r="S21" s="41" t="s">
        <v>48</v>
      </c>
      <c r="T21" s="41" t="s">
        <v>49</v>
      </c>
      <c r="U21" s="42" t="str">
        <f t="shared" si="1"/>
        <v>40%</v>
      </c>
      <c r="V21" s="41" t="s">
        <v>94</v>
      </c>
      <c r="W21" s="41" t="s">
        <v>51</v>
      </c>
      <c r="X21" s="41" t="s">
        <v>77</v>
      </c>
      <c r="Y21" s="25">
        <f>IFERROR(IF(R21="Probabilidad",(J21-(+J21*U21)),IF(R21="Impacto",J21,"")),"")</f>
        <v>0.48</v>
      </c>
      <c r="Z21" s="15" t="str">
        <f t="shared" si="2"/>
        <v>Media</v>
      </c>
      <c r="AA21" s="43">
        <f t="shared" si="3"/>
        <v>0.48</v>
      </c>
      <c r="AB21" s="15" t="str">
        <f>IFERROR(IF(AC21="","",IF(AC21&lt;=0.2,"Leve",IF(AC21&lt;=0.4,"Menor",IF(AC21&lt;=0.6,"Moderado",IF(AC21&lt;=0.8,"Mayor","Catastrófico"))))),"")</f>
        <v>Mayor</v>
      </c>
      <c r="AC21" s="43">
        <f t="shared" si="5"/>
        <v>0.8</v>
      </c>
      <c r="AD21" s="24" t="str">
        <f t="shared" si="6"/>
        <v>Alto</v>
      </c>
      <c r="AE21" s="44" t="s">
        <v>55</v>
      </c>
      <c r="AF21" s="1"/>
      <c r="AG21" s="1"/>
      <c r="AH21" s="1"/>
      <c r="AI21" s="1"/>
      <c r="AJ21" s="1"/>
      <c r="AK21" s="1"/>
      <c r="AL21" s="1"/>
      <c r="AM21" s="1"/>
      <c r="AN21" s="1"/>
      <c r="AO21" s="1"/>
      <c r="AP21" s="1"/>
      <c r="AQ21" s="1"/>
      <c r="AR21" s="1"/>
      <c r="AS21" s="1"/>
      <c r="AT21" s="1"/>
      <c r="AU21" s="1"/>
      <c r="AV21" s="1"/>
      <c r="AW21" s="1"/>
      <c r="AX21" s="1"/>
      <c r="AY21" s="1"/>
      <c r="AZ21" s="1"/>
      <c r="BA21" s="1"/>
      <c r="BB21" s="1"/>
      <c r="BC21" s="1"/>
    </row>
    <row r="22" spans="1:55" ht="151.5" customHeight="1" x14ac:dyDescent="0.3">
      <c r="A22" s="72">
        <v>7</v>
      </c>
      <c r="B22" s="62" t="s">
        <v>95</v>
      </c>
      <c r="C22" s="75" t="s">
        <v>41</v>
      </c>
      <c r="D22" s="76" t="s">
        <v>96</v>
      </c>
      <c r="E22" s="76" t="s">
        <v>97</v>
      </c>
      <c r="F22" s="77" t="s">
        <v>98</v>
      </c>
      <c r="G22" s="76" t="s">
        <v>99</v>
      </c>
      <c r="H22" s="68">
        <v>1000</v>
      </c>
      <c r="I22" s="71" t="str">
        <f>IF(H22&lt;=0,"",IF(H22&lt;=2,"Muy Baja",IF(H22&lt;=24,"Baja",IF(H22&lt;=500,"Media",IF(H22&lt;=5000,"Alta","Muy Alta")))))</f>
        <v>Alta</v>
      </c>
      <c r="J22" s="59">
        <f>IF(I22="","",IF(I22="Muy Baja",0.2,IF(I22="Baja",0.4,IF(I22="Media",0.6,IF(I22="Alta",0.8,IF(I22="Muy Alta",1,))))))</f>
        <v>0.8</v>
      </c>
      <c r="K22" s="70" t="s">
        <v>62</v>
      </c>
      <c r="L22" s="59" t="str">
        <f>IF(NOT(ISERROR(MATCH(K22,'[1]Tabla Impacto'!$B$221:$B$223,0))),'[1]Tabla Impacto'!$F$223&amp;"Por favor no seleccionar los criterios de impacto(Afectación Económica o presupuestal y Pérdida Reputacional)",K22)</f>
        <v xml:space="preserve">     Entre 100 y 500 SMLMV </v>
      </c>
      <c r="M22" s="71" t="str">
        <f>IF(OR(L22='[1]Tabla Impacto'!$C$11,L22='[1]Tabla Impacto'!$D$11),"Leve",IF(OR(L22='[1]Tabla Impacto'!$C$12,L22='[1]Tabla Impacto'!$D$12),"Menor",IF(OR(L22='[1]Tabla Impacto'!$C$13,L22='[1]Tabla Impacto'!$D$13),"Moderado",IF(OR(L22='[1]Tabla Impacto'!$C$14,L22='[1]Tabla Impacto'!$D$14),"Mayor",IF(OR(L22='[1]Tabla Impacto'!$C$15,L22='[1]Tabla Impacto'!$D$15),"Catastrófico","")))))</f>
        <v>Mayor</v>
      </c>
      <c r="N22" s="59">
        <f>IF(M22="","",IF(M22="Leve",0.2,IF(M22="Menor",0.4,IF(M22="Moderado",0.6,IF(M22="Mayor",0.8,IF(M22="Catastrófico",1,))))))</f>
        <v>0.8</v>
      </c>
      <c r="O22" s="60" t="str">
        <f>IF(OR(AND(I22="Muy Baja",M22="Leve"),AND(I22="Muy Baja",M22="Menor"),AND(I22="Baja",M22="Leve")),"Bajo",IF(OR(AND(I22="Muy baja",M22="Moderado"),AND(I22="Baja",M22="Menor"),AND(I22="Baja",M22="Moderado"),AND(I22="Media",M22="Leve"),AND(I22="Media",M22="Menor"),AND(I22="Media",M22="Moderado"),AND(I22="Alta",M22="Leve"),AND(I22="Alta",M22="Menor")),"Moderado",IF(OR(AND(I22="Muy Baja",M22="Mayor"),AND(I22="Baja",M22="Mayor"),AND(I22="Media",M22="Mayor"),AND(I22="Alta",M22="Moderado"),AND(I22="Alta",M22="Mayor"),AND(I22="Muy Alta",M22="Leve"),AND(I22="Muy Alta",M22="Menor"),AND(I22="Muy Alta",M22="Moderado"),AND(I22="Muy Alta",M22="Mayor")),"Alto",IF(OR(AND(I22="Muy Baja",M22="Catastrófico"),AND(I22="Baja",M22="Catastrófico"),AND(I22="Media",M22="Catastrófico"),AND(I22="Alta",M22="Catastrófico"),AND(I22="Muy Alta",M22="Catastrófico")),"Extremo",""))))</f>
        <v>Alto</v>
      </c>
      <c r="P22" s="9">
        <v>1</v>
      </c>
      <c r="Q22" s="10" t="s">
        <v>100</v>
      </c>
      <c r="R22" s="11" t="str">
        <f t="shared" si="0"/>
        <v>Probabilidad</v>
      </c>
      <c r="S22" s="12" t="s">
        <v>48</v>
      </c>
      <c r="T22" s="12" t="s">
        <v>49</v>
      </c>
      <c r="U22" s="13" t="str">
        <f t="shared" si="1"/>
        <v>40%</v>
      </c>
      <c r="V22" s="12" t="s">
        <v>50</v>
      </c>
      <c r="W22" s="12" t="s">
        <v>51</v>
      </c>
      <c r="X22" s="12" t="s">
        <v>52</v>
      </c>
      <c r="Y22" s="14">
        <f>IFERROR(IF(R22="Probabilidad",(J22-(+J22*U22)),IF(R22="Impacto",J22,"")),"")</f>
        <v>0.48</v>
      </c>
      <c r="Z22" s="20" t="str">
        <f t="shared" si="2"/>
        <v>Media</v>
      </c>
      <c r="AA22" s="13">
        <f t="shared" si="3"/>
        <v>0.48</v>
      </c>
      <c r="AB22" s="15" t="str">
        <f>IFERROR(IF(AC22="","",IF(AC22&lt;=0.2,"Leve",IF(AC22&lt;=0.4,"Menor",IF(AC22&lt;=0.6,"Moderado",IF(AC22&lt;=0.8,"Mayor","Catastrófico"))))),"")</f>
        <v>Mayor</v>
      </c>
      <c r="AC22" s="13">
        <f t="shared" si="5"/>
        <v>0.8</v>
      </c>
      <c r="AD22" s="24" t="str">
        <f t="shared" si="6"/>
        <v>Alto</v>
      </c>
      <c r="AE22" s="12" t="s">
        <v>55</v>
      </c>
      <c r="AF22" s="1"/>
      <c r="AG22" s="1"/>
      <c r="AH22" s="1"/>
      <c r="AI22" s="1"/>
      <c r="AJ22" s="1"/>
      <c r="AK22" s="1"/>
      <c r="AL22" s="1"/>
      <c r="AM22" s="1"/>
      <c r="AN22" s="1"/>
      <c r="AO22" s="1"/>
      <c r="AP22" s="1"/>
      <c r="AQ22" s="1"/>
      <c r="AR22" s="1"/>
      <c r="AS22" s="1"/>
      <c r="AT22" s="1"/>
      <c r="AU22" s="1"/>
      <c r="AV22" s="1"/>
      <c r="AW22" s="1"/>
      <c r="AX22" s="1"/>
      <c r="AY22" s="1"/>
      <c r="AZ22" s="1"/>
      <c r="BA22" s="1"/>
      <c r="BB22" s="1"/>
      <c r="BC22" s="1"/>
    </row>
    <row r="23" spans="1:55" ht="151.5" customHeight="1" x14ac:dyDescent="0.3">
      <c r="A23" s="72"/>
      <c r="B23" s="74"/>
      <c r="C23" s="75"/>
      <c r="D23" s="76"/>
      <c r="E23" s="76"/>
      <c r="F23" s="77"/>
      <c r="G23" s="76"/>
      <c r="H23" s="68"/>
      <c r="I23" s="71"/>
      <c r="J23" s="59"/>
      <c r="K23" s="70"/>
      <c r="L23" s="59">
        <f ca="1">IF(NOT(ISERROR(MATCH(K23,_xlfn.ANCHORARRAY(F29),0))),#REF!&amp;"Por favor no seleccionar los criterios de impacto",K23)</f>
        <v>0</v>
      </c>
      <c r="M23" s="71"/>
      <c r="N23" s="59"/>
      <c r="O23" s="60"/>
      <c r="P23" s="9">
        <v>2</v>
      </c>
      <c r="Q23" s="10" t="s">
        <v>101</v>
      </c>
      <c r="R23" s="11" t="str">
        <f t="shared" si="0"/>
        <v>Probabilidad</v>
      </c>
      <c r="S23" s="12" t="s">
        <v>48</v>
      </c>
      <c r="T23" s="12" t="s">
        <v>49</v>
      </c>
      <c r="U23" s="13" t="str">
        <f t="shared" si="1"/>
        <v>40%</v>
      </c>
      <c r="V23" s="12" t="s">
        <v>50</v>
      </c>
      <c r="W23" s="12" t="s">
        <v>51</v>
      </c>
      <c r="X23" s="12" t="s">
        <v>52</v>
      </c>
      <c r="Y23" s="14">
        <f>IFERROR(IF(AND(R22="Probabilidad",R23="Probabilidad"),(AA22-(+AA22*U23)),IF(R23="Probabilidad",(J22-(+J22*U23)),IF(R23="Impacto",AA22,""))),"")</f>
        <v>0.28799999999999998</v>
      </c>
      <c r="Z23" s="20" t="str">
        <f t="shared" si="2"/>
        <v>Baja</v>
      </c>
      <c r="AA23" s="13">
        <f t="shared" si="3"/>
        <v>0.28799999999999998</v>
      </c>
      <c r="AB23" s="21" t="str">
        <f t="shared" si="4"/>
        <v>Leve</v>
      </c>
      <c r="AC23" s="13">
        <f t="shared" si="5"/>
        <v>0</v>
      </c>
      <c r="AD23" s="22" t="str">
        <f t="shared" si="6"/>
        <v>Bajo</v>
      </c>
      <c r="AE23" s="12" t="s">
        <v>55</v>
      </c>
      <c r="AF23" s="1"/>
      <c r="AG23" s="1"/>
      <c r="AH23" s="1"/>
      <c r="AI23" s="1"/>
      <c r="AJ23" s="1"/>
      <c r="AK23" s="1"/>
      <c r="AL23" s="1"/>
      <c r="AM23" s="1"/>
      <c r="AN23" s="1"/>
      <c r="AO23" s="1"/>
      <c r="AP23" s="1"/>
      <c r="AQ23" s="1"/>
      <c r="AR23" s="1"/>
      <c r="AS23" s="1"/>
      <c r="AT23" s="1"/>
      <c r="AU23" s="1"/>
      <c r="AV23" s="1"/>
      <c r="AW23" s="1"/>
      <c r="AX23" s="1"/>
      <c r="AY23" s="1"/>
      <c r="AZ23" s="1"/>
      <c r="BA23" s="1"/>
      <c r="BB23" s="1"/>
      <c r="BC23" s="1"/>
    </row>
    <row r="24" spans="1:55" ht="151.5" hidden="1" customHeight="1" x14ac:dyDescent="0.3">
      <c r="A24" s="72"/>
      <c r="B24" s="9"/>
      <c r="C24" s="75" t="s">
        <v>41</v>
      </c>
      <c r="D24" s="76" t="s">
        <v>96</v>
      </c>
      <c r="E24" s="76" t="s">
        <v>97</v>
      </c>
      <c r="F24" s="77" t="s">
        <v>98</v>
      </c>
      <c r="G24" s="76" t="s">
        <v>99</v>
      </c>
      <c r="H24" s="68">
        <v>1000</v>
      </c>
      <c r="I24" s="71"/>
      <c r="J24" s="59"/>
      <c r="K24" s="70"/>
      <c r="L24" s="59">
        <f ca="1">IF(NOT(ISERROR(MATCH(K24,_xlfn.ANCHORARRAY(F31),0))),#REF!&amp;"Por favor no seleccionar los criterios de impacto",K24)</f>
        <v>0</v>
      </c>
      <c r="M24" s="71"/>
      <c r="N24" s="59"/>
      <c r="O24" s="60"/>
      <c r="P24" s="9">
        <v>3</v>
      </c>
      <c r="Q24" s="45"/>
      <c r="R24" s="11" t="str">
        <f t="shared" si="0"/>
        <v/>
      </c>
      <c r="S24" s="12"/>
      <c r="T24" s="12"/>
      <c r="U24" s="13" t="str">
        <f t="shared" si="1"/>
        <v/>
      </c>
      <c r="V24" s="12"/>
      <c r="W24" s="12"/>
      <c r="X24" s="12"/>
      <c r="Y24" s="14" t="str">
        <f>IFERROR(IF(AND(R23="Probabilidad",R24="Probabilidad"),(AA23-(+AA23*U24)),IF(AND(R23="Impacto",R24="Probabilidad"),(AA22-(+AA22*U24)),IF(R24="Impacto",AA23,""))),"")</f>
        <v/>
      </c>
      <c r="Z24" s="20" t="str">
        <f t="shared" si="2"/>
        <v/>
      </c>
      <c r="AA24" s="13" t="str">
        <f t="shared" si="3"/>
        <v/>
      </c>
      <c r="AB24" s="20" t="str">
        <f t="shared" si="4"/>
        <v/>
      </c>
      <c r="AC24" s="13" t="str">
        <f t="shared" si="5"/>
        <v/>
      </c>
      <c r="AD24" s="46" t="str">
        <f t="shared" si="6"/>
        <v/>
      </c>
      <c r="AE24" s="12"/>
      <c r="AF24" s="1"/>
      <c r="AG24" s="1"/>
      <c r="AH24" s="1"/>
      <c r="AI24" s="1"/>
      <c r="AJ24" s="1"/>
      <c r="AK24" s="1"/>
      <c r="AL24" s="1"/>
      <c r="AM24" s="1"/>
      <c r="AN24" s="1"/>
      <c r="AO24" s="1"/>
      <c r="AP24" s="1"/>
      <c r="AQ24" s="1"/>
      <c r="AR24" s="1"/>
      <c r="AS24" s="1"/>
      <c r="AT24" s="1"/>
      <c r="AU24" s="1"/>
      <c r="AV24" s="1"/>
      <c r="AW24" s="1"/>
      <c r="AX24" s="1"/>
      <c r="AY24" s="1"/>
      <c r="AZ24" s="1"/>
      <c r="BA24" s="1"/>
      <c r="BB24" s="1"/>
      <c r="BC24" s="1"/>
    </row>
    <row r="25" spans="1:55" ht="151.5" hidden="1" customHeight="1" x14ac:dyDescent="0.3">
      <c r="A25" s="72"/>
      <c r="B25" s="9"/>
      <c r="C25" s="75"/>
      <c r="D25" s="76"/>
      <c r="E25" s="76"/>
      <c r="F25" s="77"/>
      <c r="G25" s="76"/>
      <c r="H25" s="68"/>
      <c r="I25" s="71"/>
      <c r="J25" s="59"/>
      <c r="K25" s="70"/>
      <c r="L25" s="59">
        <f ca="1">IF(NOT(ISERROR(MATCH(K25,_xlfn.ANCHORARRAY(#REF!),0))),#REF!&amp;"Por favor no seleccionar los criterios de impacto",K25)</f>
        <v>0</v>
      </c>
      <c r="M25" s="71"/>
      <c r="N25" s="59"/>
      <c r="O25" s="60"/>
      <c r="P25" s="9">
        <v>4</v>
      </c>
      <c r="Q25" s="10"/>
      <c r="R25" s="11" t="str">
        <f t="shared" si="0"/>
        <v/>
      </c>
      <c r="S25" s="12"/>
      <c r="T25" s="12"/>
      <c r="U25" s="13" t="str">
        <f t="shared" si="1"/>
        <v/>
      </c>
      <c r="V25" s="12"/>
      <c r="W25" s="12"/>
      <c r="X25" s="12"/>
      <c r="Y25" s="14" t="str">
        <f>IFERROR(IF(AND(R24="Probabilidad",R25="Probabilidad"),(AA24-(+AA24*U25)),IF(AND(R24="Impacto",R25="Probabilidad"),(AA23-(+AA23*U25)),IF(R25="Impacto",AA24,""))),"")</f>
        <v/>
      </c>
      <c r="Z25" s="20" t="str">
        <f t="shared" si="2"/>
        <v/>
      </c>
      <c r="AA25" s="13" t="str">
        <f t="shared" si="3"/>
        <v/>
      </c>
      <c r="AB25" s="20" t="str">
        <f t="shared" si="4"/>
        <v/>
      </c>
      <c r="AC25" s="13" t="str">
        <f t="shared" si="5"/>
        <v/>
      </c>
      <c r="AD25" s="46" t="str">
        <f t="shared" si="6"/>
        <v/>
      </c>
      <c r="AE25" s="12"/>
      <c r="AF25" s="1"/>
      <c r="AG25" s="1"/>
      <c r="AH25" s="1"/>
      <c r="AI25" s="1"/>
      <c r="AJ25" s="1"/>
      <c r="AK25" s="1"/>
      <c r="AL25" s="1"/>
      <c r="AM25" s="1"/>
      <c r="AN25" s="1"/>
      <c r="AO25" s="1"/>
      <c r="AP25" s="1"/>
      <c r="AQ25" s="1"/>
      <c r="AR25" s="1"/>
      <c r="AS25" s="1"/>
      <c r="AT25" s="1"/>
      <c r="AU25" s="1"/>
      <c r="AV25" s="1"/>
      <c r="AW25" s="1"/>
      <c r="AX25" s="1"/>
      <c r="AY25" s="1"/>
      <c r="AZ25" s="1"/>
      <c r="BA25" s="1"/>
      <c r="BB25" s="1"/>
      <c r="BC25" s="1"/>
    </row>
    <row r="26" spans="1:55" ht="151.5" hidden="1" customHeight="1" x14ac:dyDescent="0.3">
      <c r="A26" s="72"/>
      <c r="B26" s="9"/>
      <c r="C26" s="75" t="s">
        <v>41</v>
      </c>
      <c r="D26" s="76" t="s">
        <v>96</v>
      </c>
      <c r="E26" s="76" t="s">
        <v>97</v>
      </c>
      <c r="F26" s="77" t="s">
        <v>98</v>
      </c>
      <c r="G26" s="76" t="s">
        <v>99</v>
      </c>
      <c r="H26" s="68">
        <v>1000</v>
      </c>
      <c r="I26" s="71"/>
      <c r="J26" s="59"/>
      <c r="K26" s="70"/>
      <c r="L26" s="59">
        <f ca="1">IF(NOT(ISERROR(MATCH(K26,_xlfn.ANCHORARRAY(#REF!),0))),#REF!&amp;"Por favor no seleccionar los criterios de impacto",K26)</f>
        <v>0</v>
      </c>
      <c r="M26" s="71"/>
      <c r="N26" s="59"/>
      <c r="O26" s="60"/>
      <c r="P26" s="9">
        <v>5</v>
      </c>
      <c r="Q26" s="10"/>
      <c r="R26" s="11" t="str">
        <f t="shared" si="0"/>
        <v/>
      </c>
      <c r="S26" s="12"/>
      <c r="T26" s="12"/>
      <c r="U26" s="13" t="str">
        <f t="shared" si="1"/>
        <v/>
      </c>
      <c r="V26" s="12"/>
      <c r="W26" s="12"/>
      <c r="X26" s="12"/>
      <c r="Y26" s="14" t="str">
        <f>IFERROR(IF(AND(R25="Probabilidad",R26="Probabilidad"),(AA25-(+AA25*U26)),IF(AND(R25="Impacto",R26="Probabilidad"),(AA24-(+AA24*U26)),IF(R26="Impacto",AA25,""))),"")</f>
        <v/>
      </c>
      <c r="Z26" s="20" t="str">
        <f t="shared" si="2"/>
        <v/>
      </c>
      <c r="AA26" s="13" t="str">
        <f t="shared" si="3"/>
        <v/>
      </c>
      <c r="AB26" s="20" t="str">
        <f t="shared" si="4"/>
        <v/>
      </c>
      <c r="AC26" s="13" t="str">
        <f t="shared" si="5"/>
        <v/>
      </c>
      <c r="AD26" s="46" t="str">
        <f t="shared" si="6"/>
        <v/>
      </c>
      <c r="AE26" s="12"/>
      <c r="AF26" s="1"/>
      <c r="AG26" s="1"/>
      <c r="AH26" s="1"/>
      <c r="AI26" s="1"/>
      <c r="AJ26" s="1"/>
      <c r="AK26" s="1"/>
      <c r="AL26" s="1"/>
      <c r="AM26" s="1"/>
      <c r="AN26" s="1"/>
      <c r="AO26" s="1"/>
      <c r="AP26" s="1"/>
      <c r="AQ26" s="1"/>
      <c r="AR26" s="1"/>
      <c r="AS26" s="1"/>
      <c r="AT26" s="1"/>
      <c r="AU26" s="1"/>
      <c r="AV26" s="1"/>
      <c r="AW26" s="1"/>
      <c r="AX26" s="1"/>
      <c r="AY26" s="1"/>
      <c r="AZ26" s="1"/>
      <c r="BA26" s="1"/>
      <c r="BB26" s="1"/>
      <c r="BC26" s="1"/>
    </row>
    <row r="27" spans="1:55" ht="151.5" hidden="1" customHeight="1" x14ac:dyDescent="0.3">
      <c r="A27" s="72"/>
      <c r="B27" s="9"/>
      <c r="C27" s="75"/>
      <c r="D27" s="76"/>
      <c r="E27" s="76"/>
      <c r="F27" s="77"/>
      <c r="G27" s="76"/>
      <c r="H27" s="68"/>
      <c r="I27" s="71"/>
      <c r="J27" s="59"/>
      <c r="K27" s="70"/>
      <c r="L27" s="59">
        <f ca="1">IF(NOT(ISERROR(MATCH(K27,_xlfn.ANCHORARRAY(#REF!),0))),J32&amp;"Por favor no seleccionar los criterios de impacto",K27)</f>
        <v>0</v>
      </c>
      <c r="M27" s="71"/>
      <c r="N27" s="59"/>
      <c r="O27" s="60"/>
      <c r="P27" s="9">
        <v>6</v>
      </c>
      <c r="Q27" s="10"/>
      <c r="R27" s="11" t="str">
        <f t="shared" si="0"/>
        <v/>
      </c>
      <c r="S27" s="12"/>
      <c r="T27" s="12"/>
      <c r="U27" s="13" t="str">
        <f t="shared" si="1"/>
        <v/>
      </c>
      <c r="V27" s="12"/>
      <c r="W27" s="12"/>
      <c r="X27" s="12"/>
      <c r="Y27" s="14" t="str">
        <f>IFERROR(IF(AND(R26="Probabilidad",R27="Probabilidad"),(AA26-(+AA26*U27)),IF(AND(R26="Impacto",R27="Probabilidad"),(AA25-(+AA25*U27)),IF(R27="Impacto",AA26,""))),"")</f>
        <v/>
      </c>
      <c r="Z27" s="20" t="str">
        <f t="shared" si="2"/>
        <v/>
      </c>
      <c r="AA27" s="13" t="str">
        <f t="shared" si="3"/>
        <v/>
      </c>
      <c r="AB27" s="20" t="str">
        <f t="shared" si="4"/>
        <v/>
      </c>
      <c r="AC27" s="13" t="str">
        <f t="shared" si="5"/>
        <v/>
      </c>
      <c r="AD27" s="46" t="str">
        <f t="shared" si="6"/>
        <v/>
      </c>
      <c r="AE27" s="12"/>
      <c r="AF27" s="1"/>
      <c r="AG27" s="1"/>
      <c r="AH27" s="1"/>
      <c r="AI27" s="1"/>
      <c r="AJ27" s="1"/>
      <c r="AK27" s="1"/>
      <c r="AL27" s="1"/>
      <c r="AM27" s="1"/>
      <c r="AN27" s="1"/>
      <c r="AO27" s="1"/>
      <c r="AP27" s="1"/>
      <c r="AQ27" s="1"/>
      <c r="AR27" s="1"/>
      <c r="AS27" s="1"/>
      <c r="AT27" s="1"/>
      <c r="AU27" s="1"/>
      <c r="AV27" s="1"/>
      <c r="AW27" s="1"/>
      <c r="AX27" s="1"/>
      <c r="AY27" s="1"/>
      <c r="AZ27" s="1"/>
      <c r="BA27" s="1"/>
      <c r="BB27" s="1"/>
      <c r="BC27" s="1"/>
    </row>
    <row r="28" spans="1:55" ht="184.5" customHeight="1" x14ac:dyDescent="0.3">
      <c r="A28" s="26">
        <v>8</v>
      </c>
      <c r="B28" s="27" t="s">
        <v>83</v>
      </c>
      <c r="C28" s="28" t="s">
        <v>41</v>
      </c>
      <c r="D28" s="29" t="s">
        <v>102</v>
      </c>
      <c r="E28" s="29" t="s">
        <v>103</v>
      </c>
      <c r="F28" s="30" t="s">
        <v>104</v>
      </c>
      <c r="G28" s="29" t="s">
        <v>105</v>
      </c>
      <c r="H28" s="31">
        <v>100</v>
      </c>
      <c r="I28" s="32" t="str">
        <f>IF(H28&lt;=0,"",IF(H28&lt;=2,"Muy Baja",IF(H28&lt;=24,"Baja",IF(H28&lt;=500,"Media",IF(H28&lt;=5000,"Alta","Muy Alta")))))</f>
        <v>Media</v>
      </c>
      <c r="J28" s="33">
        <f>IF(I28="","",IF(I28="Muy Baja",0.2,IF(I28="Baja",0.4,IF(I28="Media",0.6,IF(I28="Alta",0.8,IF(I28="Muy Alta",1,))))))</f>
        <v>0.6</v>
      </c>
      <c r="K28" s="34" t="s">
        <v>62</v>
      </c>
      <c r="L28" s="33" t="str">
        <f>IF(NOT(ISERROR(MATCH(K28,'[1]Tabla Impacto'!$B$221:$B$223,0))),'[1]Tabla Impacto'!$F$223&amp;"Por favor no seleccionar los criterios de impacto(Afectación Económica o presupuestal y Pérdida Reputacional)",K28)</f>
        <v xml:space="preserve">     Entre 100 y 500 SMLMV </v>
      </c>
      <c r="M28" s="35" t="str">
        <f>IF(OR(L28='[1]Tabla Impacto'!$C$11,L28='[1]Tabla Impacto'!$D$11),"Leve",IF(OR(L28='[1]Tabla Impacto'!$C$12,L28='[1]Tabla Impacto'!$D$12),"Menor",IF(OR(L28='[1]Tabla Impacto'!$C$13,L28='[1]Tabla Impacto'!$D$13),"Moderado",IF(OR(L28='[1]Tabla Impacto'!$C$14,L28='[1]Tabla Impacto'!$D$14),"Mayor",IF(OR(L28='[1]Tabla Impacto'!$C$15,L28='[1]Tabla Impacto'!$D$15),"Catastrófico","")))))</f>
        <v>Mayor</v>
      </c>
      <c r="N28" s="33">
        <f>IF(M28="","",IF(M28="Leve",0.2,IF(M28="Menor",0.4,IF(M28="Moderado",0.6,IF(M28="Mayor",0.8,IF(M28="Catastrófico",1,))))))</f>
        <v>0.8</v>
      </c>
      <c r="O28" s="36" t="str">
        <f>IF(OR(AND(I28="Muy Baja",M28="Leve"),AND(I28="Muy Baja",M28="Menor"),AND(I28="Baja",M28="Leve")),"Bajo",IF(OR(AND(I28="Muy baja",M28="Moderado"),AND(I28="Baja",M28="Menor"),AND(I28="Baja",M28="Moderado"),AND(I28="Media",M28="Leve"),AND(I28="Media",M28="Menor"),AND(I28="Media",M28="Moderado"),AND(I28="Alta",M28="Leve"),AND(I28="Alta",M28="Menor")),"Moderado",IF(OR(AND(I28="Muy Baja",M28="Mayor"),AND(I28="Baja",M28="Mayor"),AND(I28="Media",M28="Mayor"),AND(I28="Alta",M28="Moderado"),AND(I28="Alta",M28="Mayor"),AND(I28="Muy Alta",M28="Leve"),AND(I28="Muy Alta",M28="Menor"),AND(I28="Muy Alta",M28="Moderado"),AND(I28="Muy Alta",M28="Mayor")),"Alto",IF(OR(AND(I28="Muy Baja",M28="Catastrófico"),AND(I28="Baja",M28="Catastrófico"),AND(I28="Media",M28="Catastrófico"),AND(I28="Alta",M28="Catastrófico"),AND(I28="Muy Alta",M28="Catastrófico")),"Extremo",""))))</f>
        <v>Alto</v>
      </c>
      <c r="P28" s="9">
        <v>1</v>
      </c>
      <c r="Q28" s="10" t="s">
        <v>106</v>
      </c>
      <c r="R28" s="11" t="str">
        <f t="shared" si="0"/>
        <v>Probabilidad</v>
      </c>
      <c r="S28" s="12" t="s">
        <v>48</v>
      </c>
      <c r="T28" s="12" t="s">
        <v>49</v>
      </c>
      <c r="U28" s="13" t="str">
        <f t="shared" si="1"/>
        <v>40%</v>
      </c>
      <c r="V28" s="12" t="s">
        <v>50</v>
      </c>
      <c r="W28" s="12" t="s">
        <v>51</v>
      </c>
      <c r="X28" s="12" t="s">
        <v>52</v>
      </c>
      <c r="Y28" s="14">
        <f>IFERROR(IF(R28="Probabilidad",(J28-(+J28*U28)),IF(R28="Impacto",J28,"")),"")</f>
        <v>0.36</v>
      </c>
      <c r="Z28" s="20" t="str">
        <f t="shared" si="2"/>
        <v>Baja</v>
      </c>
      <c r="AA28" s="13">
        <f t="shared" si="3"/>
        <v>0.36</v>
      </c>
      <c r="AB28" s="15" t="str">
        <f>IFERROR(IF(AC28="","",IF(AC28&lt;=0.2,"Leve",IF(AC28&lt;=0.4,"Menor",IF(AC28&lt;=0.6,"Moderado",IF(AC28&lt;=0.8,"Mayor","Catastrófico"))))),"")</f>
        <v>Mayor</v>
      </c>
      <c r="AC28" s="13">
        <f t="shared" si="5"/>
        <v>0.8</v>
      </c>
      <c r="AD28" s="24" t="str">
        <f t="shared" si="6"/>
        <v>Alto</v>
      </c>
      <c r="AE28" s="12" t="s">
        <v>55</v>
      </c>
      <c r="AF28" s="1"/>
      <c r="AG28" s="1"/>
      <c r="AH28" s="1"/>
      <c r="AI28" s="1"/>
      <c r="AJ28" s="1"/>
      <c r="AK28" s="1"/>
      <c r="AL28" s="1"/>
      <c r="AM28" s="1"/>
      <c r="AN28" s="1"/>
      <c r="AO28" s="1"/>
      <c r="AP28" s="1"/>
      <c r="AQ28" s="1"/>
      <c r="AR28" s="1"/>
      <c r="AS28" s="1"/>
      <c r="AT28" s="1"/>
      <c r="AU28" s="1"/>
      <c r="AV28" s="1"/>
      <c r="AW28" s="1"/>
      <c r="AX28" s="1"/>
      <c r="AY28" s="1"/>
      <c r="AZ28" s="1"/>
      <c r="BA28" s="1"/>
      <c r="BB28" s="1"/>
      <c r="BC28" s="1"/>
    </row>
    <row r="29" spans="1:55" ht="151.5" customHeight="1" x14ac:dyDescent="0.3">
      <c r="A29" s="72">
        <v>9</v>
      </c>
      <c r="B29" s="62" t="s">
        <v>107</v>
      </c>
      <c r="C29" s="75" t="s">
        <v>41</v>
      </c>
      <c r="D29" s="76" t="s">
        <v>108</v>
      </c>
      <c r="E29" s="76" t="s">
        <v>109</v>
      </c>
      <c r="F29" s="77" t="s">
        <v>110</v>
      </c>
      <c r="G29" s="76" t="s">
        <v>87</v>
      </c>
      <c r="H29" s="68">
        <v>20</v>
      </c>
      <c r="I29" s="69" t="str">
        <f>IF(H29&lt;=0,"",IF(H29&lt;=2,"Muy Baja",IF(H29&lt;=24,"Baja",IF(H29&lt;=500,"Media",IF(H29&lt;=5000,"Alta","Muy Alta")))))</f>
        <v>Baja</v>
      </c>
      <c r="J29" s="59">
        <f>IF(I29="","",IF(I29="Muy Baja",0.2,IF(I29="Baja",0.4,IF(I29="Media",0.6,IF(I29="Alta",0.8,IF(I29="Muy Alta",1,))))))</f>
        <v>0.4</v>
      </c>
      <c r="K29" s="70" t="s">
        <v>62</v>
      </c>
      <c r="L29" s="59" t="str">
        <f>IF(NOT(ISERROR(MATCH(K29,'[1]Tabla Impacto'!$B$221:$B$223,0))),'[1]Tabla Impacto'!$F$223&amp;"Por favor no seleccionar los criterios de impacto(Afectación Económica o presupuestal y Pérdida Reputacional)",K29)</f>
        <v xml:space="preserve">     Entre 100 y 500 SMLMV </v>
      </c>
      <c r="M29" s="71" t="str">
        <f>IF(OR(L29='[1]Tabla Impacto'!$C$11,L29='[1]Tabla Impacto'!$D$11),"Leve",IF(OR(L29='[1]Tabla Impacto'!$C$12,L29='[1]Tabla Impacto'!$D$12),"Menor",IF(OR(L29='[1]Tabla Impacto'!$C$13,L29='[1]Tabla Impacto'!$D$13),"Moderado",IF(OR(L29='[1]Tabla Impacto'!$C$14,L29='[1]Tabla Impacto'!$D$14),"Mayor",IF(OR(L29='[1]Tabla Impacto'!$C$15,L29='[1]Tabla Impacto'!$D$15),"Catastrófico","")))))</f>
        <v>Mayor</v>
      </c>
      <c r="N29" s="59">
        <f>IF(M29="","",IF(M29="Leve",0.2,IF(M29="Menor",0.4,IF(M29="Moderado",0.6,IF(M29="Mayor",0.8,IF(M29="Catastrófico",1,))))))</f>
        <v>0.8</v>
      </c>
      <c r="O29" s="60" t="str">
        <f>IF(OR(AND(I29="Muy Baja",M29="Leve"),AND(I29="Muy Baja",M29="Menor"),AND(I29="Baja",M29="Leve")),"Bajo",IF(OR(AND(I29="Muy baja",M29="Moderado"),AND(I29="Baja",M29="Menor"),AND(I29="Baja",M29="Moderado"),AND(I29="Media",M29="Leve"),AND(I29="Media",M29="Menor"),AND(I29="Media",M29="Moderado"),AND(I29="Alta",M29="Leve"),AND(I29="Alta",M29="Menor")),"Moderado",IF(OR(AND(I29="Muy Baja",M29="Mayor"),AND(I29="Baja",M29="Mayor"),AND(I29="Media",M29="Mayor"),AND(I29="Alta",M29="Moderado"),AND(I29="Alta",M29="Mayor"),AND(I29="Muy Alta",M29="Leve"),AND(I29="Muy Alta",M29="Menor"),AND(I29="Muy Alta",M29="Moderado"),AND(I29="Muy Alta",M29="Mayor")),"Alto",IF(OR(AND(I29="Muy Baja",M29="Catastrófico"),AND(I29="Baja",M29="Catastrófico"),AND(I29="Media",M29="Catastrófico"),AND(I29="Alta",M29="Catastrófico"),AND(I29="Muy Alta",M29="Catastrófico")),"Extremo",""))))</f>
        <v>Alto</v>
      </c>
      <c r="P29" s="9">
        <v>1</v>
      </c>
      <c r="Q29" s="10" t="s">
        <v>111</v>
      </c>
      <c r="R29" s="11" t="str">
        <f t="shared" si="0"/>
        <v>Impacto</v>
      </c>
      <c r="S29" s="12" t="s">
        <v>112</v>
      </c>
      <c r="T29" s="12" t="s">
        <v>49</v>
      </c>
      <c r="U29" s="13" t="str">
        <f t="shared" si="1"/>
        <v>25%</v>
      </c>
      <c r="V29" s="12" t="s">
        <v>50</v>
      </c>
      <c r="W29" s="12" t="s">
        <v>51</v>
      </c>
      <c r="X29" s="12" t="s">
        <v>52</v>
      </c>
      <c r="Y29" s="14">
        <f>IFERROR(IF(R29="Probabilidad",(J29-(+J29*U29)),IF(R29="Impacto",J29,"")),"")</f>
        <v>0.4</v>
      </c>
      <c r="Z29" s="20" t="str">
        <f t="shared" si="2"/>
        <v>Baja</v>
      </c>
      <c r="AA29" s="13">
        <f t="shared" si="3"/>
        <v>0.4</v>
      </c>
      <c r="AB29" s="47" t="str">
        <f>IFERROR(IF(AC29="","",IF(AC29&lt;=0.2,"Leve",IF(AC29&lt;=0.4,"Menor",IF(AC29&lt;=0.6,"Moderado",IF(AC29&lt;=0.8,"Mayor","Catastrófico"))))),"")</f>
        <v>Moderado</v>
      </c>
      <c r="AC29" s="13">
        <f t="shared" si="5"/>
        <v>0.60000000000000009</v>
      </c>
      <c r="AD29" s="48" t="str">
        <f t="shared" si="6"/>
        <v>Moderado</v>
      </c>
      <c r="AE29" s="12" t="s">
        <v>55</v>
      </c>
      <c r="AF29" s="1"/>
      <c r="AG29" s="1"/>
      <c r="AH29" s="1"/>
      <c r="AI29" s="1"/>
      <c r="AJ29" s="1"/>
      <c r="AK29" s="1"/>
      <c r="AL29" s="1"/>
      <c r="AM29" s="1"/>
      <c r="AN29" s="1"/>
      <c r="AO29" s="1"/>
      <c r="AP29" s="1"/>
      <c r="AQ29" s="1"/>
      <c r="AR29" s="1"/>
      <c r="AS29" s="1"/>
      <c r="AT29" s="1"/>
      <c r="AU29" s="1"/>
      <c r="AV29" s="1"/>
      <c r="AW29" s="1"/>
      <c r="AX29" s="1"/>
      <c r="AY29" s="1"/>
      <c r="AZ29" s="1"/>
      <c r="BA29" s="1"/>
      <c r="BB29" s="1"/>
      <c r="BC29" s="1"/>
    </row>
    <row r="30" spans="1:55" ht="151.5" customHeight="1" x14ac:dyDescent="0.3">
      <c r="A30" s="72"/>
      <c r="B30" s="73"/>
      <c r="C30" s="75"/>
      <c r="D30" s="76"/>
      <c r="E30" s="76"/>
      <c r="F30" s="77"/>
      <c r="G30" s="76"/>
      <c r="H30" s="68"/>
      <c r="I30" s="69"/>
      <c r="J30" s="59"/>
      <c r="K30" s="70"/>
      <c r="L30" s="59"/>
      <c r="M30" s="71"/>
      <c r="N30" s="59"/>
      <c r="O30" s="60"/>
      <c r="P30" s="9">
        <v>2</v>
      </c>
      <c r="Q30" s="10" t="s">
        <v>113</v>
      </c>
      <c r="R30" s="11" t="str">
        <f t="shared" si="0"/>
        <v>Probabilidad</v>
      </c>
      <c r="S30" s="12" t="s">
        <v>48</v>
      </c>
      <c r="T30" s="12" t="s">
        <v>49</v>
      </c>
      <c r="U30" s="13" t="str">
        <f t="shared" si="1"/>
        <v>40%</v>
      </c>
      <c r="V30" s="12" t="s">
        <v>50</v>
      </c>
      <c r="W30" s="12" t="s">
        <v>51</v>
      </c>
      <c r="X30" s="12" t="s">
        <v>52</v>
      </c>
      <c r="Y30" s="14">
        <f>IFERROR(IF(R30="Probabilidad",(J30-(+J30*U30)),IF(R30="Impacto",J30,"")),"")</f>
        <v>0</v>
      </c>
      <c r="Z30" s="20" t="str">
        <f t="shared" si="2"/>
        <v>Muy Baja</v>
      </c>
      <c r="AA30" s="13">
        <f t="shared" si="3"/>
        <v>0</v>
      </c>
      <c r="AB30" s="21" t="str">
        <f>IFERROR(IF(AC30="","",IF(AC30&lt;=0.2,"Leve",IF(AC30&lt;=0.4,"Menor",IF(AC30&lt;=0.6,"Moderado",IF(AC30&lt;=0.8,"Mayor","Catastrófico"))))),"")</f>
        <v>Leve</v>
      </c>
      <c r="AC30" s="13">
        <f t="shared" si="5"/>
        <v>0</v>
      </c>
      <c r="AD30" s="22" t="str">
        <f t="shared" si="6"/>
        <v>Bajo</v>
      </c>
      <c r="AE30" s="12" t="s">
        <v>55</v>
      </c>
      <c r="AF30" s="1"/>
      <c r="AG30" s="1"/>
      <c r="AH30" s="1"/>
      <c r="AI30" s="1"/>
      <c r="AJ30" s="1"/>
      <c r="AK30" s="1"/>
      <c r="AL30" s="1"/>
      <c r="AM30" s="1"/>
      <c r="AN30" s="1"/>
      <c r="AO30" s="1"/>
      <c r="AP30" s="1"/>
      <c r="AQ30" s="1"/>
      <c r="AR30" s="1"/>
      <c r="AS30" s="1"/>
      <c r="AT30" s="1"/>
      <c r="AU30" s="1"/>
      <c r="AV30" s="1"/>
      <c r="AW30" s="1"/>
      <c r="AX30" s="1"/>
      <c r="AY30" s="1"/>
      <c r="AZ30" s="1"/>
      <c r="BA30" s="1"/>
      <c r="BB30" s="1"/>
      <c r="BC30" s="1"/>
    </row>
    <row r="31" spans="1:55" ht="151.5" customHeight="1" x14ac:dyDescent="0.3">
      <c r="A31" s="72"/>
      <c r="B31" s="74"/>
      <c r="C31" s="75"/>
      <c r="D31" s="76"/>
      <c r="E31" s="76"/>
      <c r="F31" s="77"/>
      <c r="G31" s="76"/>
      <c r="H31" s="68"/>
      <c r="I31" s="69"/>
      <c r="J31" s="59"/>
      <c r="K31" s="70"/>
      <c r="L31" s="59">
        <f ca="1">IF(NOT(ISERROR(MATCH(K31,_xlfn.ANCHORARRAY(#REF!),0))),#REF!&amp;"Por favor no seleccionar los criterios de impacto",K31)</f>
        <v>0</v>
      </c>
      <c r="M31" s="71"/>
      <c r="N31" s="59"/>
      <c r="O31" s="60"/>
      <c r="P31" s="9">
        <v>3</v>
      </c>
      <c r="Q31" s="10" t="s">
        <v>114</v>
      </c>
      <c r="R31" s="11" t="str">
        <f t="shared" si="0"/>
        <v>Probabilidad</v>
      </c>
      <c r="S31" s="12" t="s">
        <v>48</v>
      </c>
      <c r="T31" s="12" t="s">
        <v>115</v>
      </c>
      <c r="U31" s="13" t="str">
        <f t="shared" si="1"/>
        <v>50%</v>
      </c>
      <c r="V31" s="12" t="s">
        <v>50</v>
      </c>
      <c r="W31" s="12" t="s">
        <v>51</v>
      </c>
      <c r="X31" s="12" t="s">
        <v>52</v>
      </c>
      <c r="Y31" s="14">
        <f>IFERROR(IF(AND(R29="Probabilidad",R31="Probabilidad"),(AA29-(+AA29*U31)),IF(R31="Probabilidad",(J29-(+J29*U31)),IF(R31="Impacto",AA29,""))),"")</f>
        <v>0.2</v>
      </c>
      <c r="Z31" s="20" t="str">
        <f t="shared" si="2"/>
        <v>Muy Baja</v>
      </c>
      <c r="AA31" s="13">
        <f t="shared" si="3"/>
        <v>0.2</v>
      </c>
      <c r="AB31" s="21" t="str">
        <f t="shared" si="4"/>
        <v>Leve</v>
      </c>
      <c r="AC31" s="13">
        <f t="shared" si="5"/>
        <v>0</v>
      </c>
      <c r="AD31" s="22" t="str">
        <f t="shared" si="6"/>
        <v>Bajo</v>
      </c>
      <c r="AE31" s="12" t="s">
        <v>55</v>
      </c>
      <c r="AF31" s="1"/>
      <c r="AG31" s="1"/>
      <c r="AH31" s="1"/>
      <c r="AI31" s="1"/>
      <c r="AJ31" s="1"/>
      <c r="AK31" s="1"/>
      <c r="AL31" s="1"/>
      <c r="AM31" s="1"/>
      <c r="AN31" s="1"/>
      <c r="AO31" s="1"/>
      <c r="AP31" s="1"/>
      <c r="AQ31" s="1"/>
      <c r="AR31" s="1"/>
      <c r="AS31" s="1"/>
      <c r="AT31" s="1"/>
      <c r="AU31" s="1"/>
      <c r="AV31" s="1"/>
      <c r="AW31" s="1"/>
      <c r="AX31" s="1"/>
      <c r="AY31" s="1"/>
      <c r="AZ31" s="1"/>
      <c r="BA31" s="1"/>
      <c r="BB31" s="1"/>
      <c r="BC31" s="1"/>
    </row>
    <row r="32" spans="1:55" ht="151.5" customHeight="1" x14ac:dyDescent="0.3">
      <c r="A32" s="61">
        <v>10</v>
      </c>
      <c r="B32" s="62" t="s">
        <v>107</v>
      </c>
      <c r="C32" s="64" t="s">
        <v>116</v>
      </c>
      <c r="D32" s="64" t="s">
        <v>117</v>
      </c>
      <c r="E32" s="64" t="s">
        <v>118</v>
      </c>
      <c r="F32" s="65" t="s">
        <v>119</v>
      </c>
      <c r="G32" s="66" t="s">
        <v>45</v>
      </c>
      <c r="H32" s="66">
        <v>365</v>
      </c>
      <c r="I32" s="52" t="str">
        <f>IF(H32&lt;=0,"",IF(H32&lt;=2,"Muy Baja",IF(H32&lt;=24,"Baja",IF(H32&lt;=500,"Media",IF(H32&lt;=5000,"Alta","Muy Alta")))))</f>
        <v>Media</v>
      </c>
      <c r="J32" s="54">
        <f>IF(I32="","",IF(I32="Muy Baja",0.2,IF(I32="Baja",0.4,IF(I32="Media",0.6,IF(I32="Alta",0.8,IF(I32="Muy Alta",1,))))))</f>
        <v>0.6</v>
      </c>
      <c r="K32" s="56" t="s">
        <v>62</v>
      </c>
      <c r="L32" s="33"/>
      <c r="M32" s="57" t="str">
        <f>IF(OR(L33='[1]Tabla Impacto'!$C$11,L33='[1]Tabla Impacto'!$D$11),"Leve",IF(OR(L33='[1]Tabla Impacto'!$C$12,L33='[1]Tabla Impacto'!$D$12),"Menor",IF(OR(L33='[1]Tabla Impacto'!$C$13,L33='[1]Tabla Impacto'!$D$13),"Moderado",IF(OR(L33='[1]Tabla Impacto'!$C$14,L33='[1]Tabla Impacto'!$D$14),"Mayor",IF(OR(L33='[1]Tabla Impacto'!$C$15,L33='[1]Tabla Impacto'!$D$15),"Catastrófico","")))))</f>
        <v>Mayor</v>
      </c>
      <c r="N32" s="54">
        <f>IF(M32="","",IF(M32="Leve",0.2,IF(M32="Menor",0.4,IF(M32="Moderado",0.6,IF(M32="Mayor",0.8,IF(M32="Catastrófico",1,))))))</f>
        <v>0.8</v>
      </c>
      <c r="O32" s="57" t="str">
        <f>IF(OR(AND(I32="Muy Baja",M32="Leve"),AND(I32="Muy Baja",M32="Menor"),AND(I32="Baja",M32="Leve")),"Bajo",IF(OR(AND(I32="Muy baja",M32="Moderado"),AND(I32="Baja",M32="Menor"),AND(I32="Baja",M32="Moderado"),AND(I32="Media",M32="Leve"),AND(I32="Media",M32="Menor"),AND(I32="Media",M32="Moderado"),AND(I32="Alta",M32="Leve"),AND(I32="Alta",M32="Menor")),"Moderado",IF(OR(AND(I32="Muy Baja",M32="Mayor"),AND(I32="Baja",M32="Mayor"),AND(I32="Media",M32="Mayor"),AND(I32="Alta",M32="Moderado"),AND(I32="Alta",M32="Mayor"),AND(I32="Muy Alta",M32="Leve"),AND(I32="Muy Alta",M32="Menor"),AND(I32="Muy Alta",M32="Moderado"),AND(I32="Muy Alta",M32="Mayor")),"Alto",IF(OR(AND(I32="Muy Baja",M32="Catastrófico"),AND(I32="Baja",M32="Catastrófico"),AND(I32="Media",M32="Catastrófico"),AND(I32="Alta",M32="Catastrófico"),AND(I32="Muy Alta",M32="Catastrófico")),"Extremo",""))))</f>
        <v>Alto</v>
      </c>
      <c r="P32" s="9">
        <v>1</v>
      </c>
      <c r="Q32" s="10" t="s">
        <v>120</v>
      </c>
      <c r="R32" s="11" t="str">
        <f t="shared" si="0"/>
        <v>Probabilidad</v>
      </c>
      <c r="S32" s="12" t="s">
        <v>48</v>
      </c>
      <c r="T32" s="12" t="s">
        <v>49</v>
      </c>
      <c r="U32" s="13" t="str">
        <f t="shared" si="1"/>
        <v>40%</v>
      </c>
      <c r="V32" s="12" t="s">
        <v>50</v>
      </c>
      <c r="W32" s="12" t="s">
        <v>51</v>
      </c>
      <c r="X32" s="12" t="s">
        <v>52</v>
      </c>
      <c r="Y32" s="14">
        <f>IFERROR(IF(R32="Probabilidad",(J32-(+J32*U32)),IF(R32="Impacto",J32,"")),"")</f>
        <v>0.36</v>
      </c>
      <c r="Z32" s="49" t="str">
        <f t="shared" si="2"/>
        <v>Baja</v>
      </c>
      <c r="AA32" s="13">
        <f t="shared" si="3"/>
        <v>0.36</v>
      </c>
      <c r="AB32" s="15" t="str">
        <f t="shared" si="4"/>
        <v>Mayor</v>
      </c>
      <c r="AC32" s="13">
        <f t="shared" si="5"/>
        <v>0.8</v>
      </c>
      <c r="AD32" s="24" t="str">
        <f t="shared" si="6"/>
        <v>Alto</v>
      </c>
      <c r="AE32" s="12" t="s">
        <v>55</v>
      </c>
      <c r="AF32" s="1"/>
      <c r="AG32" s="1"/>
      <c r="AH32" s="1"/>
      <c r="AI32" s="1"/>
      <c r="AJ32" s="1"/>
      <c r="AK32" s="1"/>
      <c r="AL32" s="1"/>
      <c r="AM32" s="1"/>
      <c r="AN32" s="1"/>
      <c r="AO32" s="1"/>
      <c r="AP32" s="1"/>
      <c r="AQ32" s="1"/>
      <c r="AR32" s="1"/>
      <c r="AS32" s="1"/>
      <c r="AT32" s="1"/>
      <c r="AU32" s="1"/>
      <c r="AV32" s="1"/>
      <c r="AW32" s="1"/>
      <c r="AX32" s="1"/>
      <c r="AY32" s="1"/>
      <c r="AZ32" s="1"/>
      <c r="BA32" s="1"/>
      <c r="BB32" s="1"/>
      <c r="BC32" s="1"/>
    </row>
    <row r="33" spans="1:55" ht="199.5" customHeight="1" x14ac:dyDescent="0.3">
      <c r="A33" s="55"/>
      <c r="B33" s="63"/>
      <c r="C33" s="55"/>
      <c r="D33" s="55"/>
      <c r="E33" s="55"/>
      <c r="F33" s="55"/>
      <c r="G33" s="67"/>
      <c r="H33" s="67"/>
      <c r="I33" s="53"/>
      <c r="J33" s="55"/>
      <c r="K33" s="55"/>
      <c r="L33" s="33" t="str">
        <f>IF(NOT(ISERROR(MATCH(K32,'[1]Tabla Impacto'!$B$221:$B$223,0))),'[1]Tabla Impacto'!$F$223&amp;"Por favor no seleccionar los criterios de impacto(Afectación Económica o presupuestal y Pérdida Reputacional)",K32)</f>
        <v xml:space="preserve">     Entre 100 y 500 SMLMV </v>
      </c>
      <c r="M33" s="58"/>
      <c r="N33" s="55"/>
      <c r="O33" s="58"/>
      <c r="P33" s="9">
        <v>2</v>
      </c>
      <c r="Q33" s="10" t="s">
        <v>121</v>
      </c>
      <c r="R33" s="11" t="str">
        <f t="shared" si="0"/>
        <v>Probabilidad</v>
      </c>
      <c r="S33" s="12" t="s">
        <v>48</v>
      </c>
      <c r="T33" s="12" t="s">
        <v>49</v>
      </c>
      <c r="U33" s="13" t="str">
        <f t="shared" si="1"/>
        <v>40%</v>
      </c>
      <c r="V33" s="12" t="s">
        <v>50</v>
      </c>
      <c r="W33" s="12" t="s">
        <v>51</v>
      </c>
      <c r="X33" s="12" t="s">
        <v>52</v>
      </c>
      <c r="Y33" s="14">
        <f>IFERROR(IF(R33="Probabilidad",(J32-(+J32*U33)),IF(R33="Impacto",J32,"")),"")</f>
        <v>0.36</v>
      </c>
      <c r="Z33" s="20" t="str">
        <f t="shared" si="2"/>
        <v>Baja</v>
      </c>
      <c r="AA33" s="13">
        <f t="shared" si="3"/>
        <v>0.36</v>
      </c>
      <c r="AB33" s="21" t="str">
        <f>IFERROR(IF(AC33="","",IF(AC33&lt;=0.2,"Leve",IF(AC33&lt;=0.4,"Menor",IF(AC33&lt;=0.6,"Moderado",IF(AC33&lt;=0.8,"Mayor","Catastrófico"))))),"")</f>
        <v>Leve</v>
      </c>
      <c r="AC33" s="13">
        <f t="shared" si="5"/>
        <v>0</v>
      </c>
      <c r="AD33" s="22" t="str">
        <f t="shared" si="6"/>
        <v>Bajo</v>
      </c>
      <c r="AE33" s="12" t="s">
        <v>55</v>
      </c>
      <c r="AF33" s="1"/>
      <c r="AG33" s="1"/>
      <c r="AH33" s="1"/>
      <c r="AI33" s="1"/>
      <c r="AJ33" s="1"/>
      <c r="AK33" s="1"/>
      <c r="AL33" s="1"/>
      <c r="AM33" s="1"/>
      <c r="AN33" s="1"/>
      <c r="AO33" s="1"/>
      <c r="AP33" s="1"/>
      <c r="AQ33" s="1"/>
      <c r="AR33" s="1"/>
      <c r="AS33" s="1"/>
      <c r="AT33" s="1"/>
      <c r="AU33" s="1"/>
      <c r="AV33" s="1"/>
      <c r="AW33" s="1"/>
      <c r="AX33" s="1"/>
      <c r="AY33" s="1"/>
      <c r="AZ33" s="1"/>
      <c r="BA33" s="1"/>
      <c r="BB33" s="1"/>
      <c r="BC33" s="1"/>
    </row>
  </sheetData>
  <dataConsolidate/>
  <mergeCells count="134">
    <mergeCell ref="A6:C6"/>
    <mergeCell ref="D6:O6"/>
    <mergeCell ref="A7:H7"/>
    <mergeCell ref="I7:O7"/>
    <mergeCell ref="P7:X7"/>
    <mergeCell ref="Y7:AE7"/>
    <mergeCell ref="A1:AE2"/>
    <mergeCell ref="A4:C4"/>
    <mergeCell ref="D4:O4"/>
    <mergeCell ref="P4:R4"/>
    <mergeCell ref="A5:C5"/>
    <mergeCell ref="D5:O5"/>
    <mergeCell ref="I8:I9"/>
    <mergeCell ref="J8:J9"/>
    <mergeCell ref="K8:K9"/>
    <mergeCell ref="L8:L9"/>
    <mergeCell ref="A8:A9"/>
    <mergeCell ref="B8:B9"/>
    <mergeCell ref="C8:C9"/>
    <mergeCell ref="D8:D9"/>
    <mergeCell ref="E8:E9"/>
    <mergeCell ref="F8:F9"/>
    <mergeCell ref="AD8:AD9"/>
    <mergeCell ref="AE8:AE9"/>
    <mergeCell ref="A10:A12"/>
    <mergeCell ref="B10:B12"/>
    <mergeCell ref="C10:C12"/>
    <mergeCell ref="D10:D12"/>
    <mergeCell ref="E10:E12"/>
    <mergeCell ref="F10:F12"/>
    <mergeCell ref="G10:G12"/>
    <mergeCell ref="H10:H12"/>
    <mergeCell ref="S8:X8"/>
    <mergeCell ref="Y8:Y9"/>
    <mergeCell ref="Z8:Z9"/>
    <mergeCell ref="AA8:AA9"/>
    <mergeCell ref="AB8:AB9"/>
    <mergeCell ref="AC8:AC9"/>
    <mergeCell ref="M8:M9"/>
    <mergeCell ref="N8:N9"/>
    <mergeCell ref="O8:O9"/>
    <mergeCell ref="P8:P9"/>
    <mergeCell ref="Q8:Q9"/>
    <mergeCell ref="R8:R9"/>
    <mergeCell ref="G8:G9"/>
    <mergeCell ref="H8:H9"/>
    <mergeCell ref="J13:J14"/>
    <mergeCell ref="K13:K14"/>
    <mergeCell ref="L13:L14"/>
    <mergeCell ref="M13:M14"/>
    <mergeCell ref="N13:N14"/>
    <mergeCell ref="O13:O14"/>
    <mergeCell ref="O10:O12"/>
    <mergeCell ref="A13:A14"/>
    <mergeCell ref="B13:B14"/>
    <mergeCell ref="C13:C14"/>
    <mergeCell ref="D13:D14"/>
    <mergeCell ref="E13:E14"/>
    <mergeCell ref="F13:F14"/>
    <mergeCell ref="G13:G14"/>
    <mergeCell ref="H13:H14"/>
    <mergeCell ref="I13:I14"/>
    <mergeCell ref="I10:I12"/>
    <mergeCell ref="J10:J12"/>
    <mergeCell ref="K10:K12"/>
    <mergeCell ref="L10:L12"/>
    <mergeCell ref="M10:M12"/>
    <mergeCell ref="N10:N12"/>
    <mergeCell ref="M15:M17"/>
    <mergeCell ref="N15:N17"/>
    <mergeCell ref="O15:O17"/>
    <mergeCell ref="A20:A21"/>
    <mergeCell ref="B20:B21"/>
    <mergeCell ref="C20:C21"/>
    <mergeCell ref="D20:D21"/>
    <mergeCell ref="E20:E21"/>
    <mergeCell ref="F20:F21"/>
    <mergeCell ref="G20:G21"/>
    <mergeCell ref="G15:G17"/>
    <mergeCell ref="H15:H17"/>
    <mergeCell ref="I15:I17"/>
    <mergeCell ref="J15:J17"/>
    <mergeCell ref="K15:K17"/>
    <mergeCell ref="L15:L17"/>
    <mergeCell ref="A15:A17"/>
    <mergeCell ref="B15:B17"/>
    <mergeCell ref="C15:C17"/>
    <mergeCell ref="D15:D17"/>
    <mergeCell ref="E15:E17"/>
    <mergeCell ref="F15:F17"/>
    <mergeCell ref="M22:M27"/>
    <mergeCell ref="N22:N27"/>
    <mergeCell ref="O22:O27"/>
    <mergeCell ref="A29:A31"/>
    <mergeCell ref="B29:B31"/>
    <mergeCell ref="C29:C31"/>
    <mergeCell ref="D29:D31"/>
    <mergeCell ref="E29:E31"/>
    <mergeCell ref="F29:F31"/>
    <mergeCell ref="G29:G31"/>
    <mergeCell ref="G22:G27"/>
    <mergeCell ref="H22:H27"/>
    <mergeCell ref="I22:I27"/>
    <mergeCell ref="J22:J27"/>
    <mergeCell ref="K22:K27"/>
    <mergeCell ref="L22:L27"/>
    <mergeCell ref="A22:A27"/>
    <mergeCell ref="B22:B23"/>
    <mergeCell ref="C22:C27"/>
    <mergeCell ref="D22:D27"/>
    <mergeCell ref="E22:E27"/>
    <mergeCell ref="F22:F27"/>
    <mergeCell ref="I32:I33"/>
    <mergeCell ref="J32:J33"/>
    <mergeCell ref="K32:K33"/>
    <mergeCell ref="M32:M33"/>
    <mergeCell ref="N32:N33"/>
    <mergeCell ref="O32:O33"/>
    <mergeCell ref="N29:N31"/>
    <mergeCell ref="O29:O31"/>
    <mergeCell ref="A32:A33"/>
    <mergeCell ref="B32:B33"/>
    <mergeCell ref="C32:C33"/>
    <mergeCell ref="D32:D33"/>
    <mergeCell ref="E32:E33"/>
    <mergeCell ref="F32:F33"/>
    <mergeCell ref="G32:G33"/>
    <mergeCell ref="H32:H33"/>
    <mergeCell ref="H29:H31"/>
    <mergeCell ref="I29:I31"/>
    <mergeCell ref="J29:J31"/>
    <mergeCell ref="K29:K31"/>
    <mergeCell ref="L29:L31"/>
    <mergeCell ref="M29:M31"/>
  </mergeCells>
  <conditionalFormatting sqref="I10 I13 Z21:Z33 Z10:Z19">
    <cfRule type="cellIs" dxfId="10" priority="7" operator="equal">
      <formula>"Muy Alta"</formula>
    </cfRule>
    <cfRule type="cellIs" dxfId="9" priority="8" operator="equal">
      <formula>"Alta"</formula>
    </cfRule>
    <cfRule type="cellIs" dxfId="8" priority="9" operator="equal">
      <formula>"Media"</formula>
    </cfRule>
    <cfRule type="cellIs" dxfId="7" priority="10" operator="equal">
      <formula>"Baja"</formula>
    </cfRule>
    <cfRule type="cellIs" dxfId="6" priority="11" operator="equal">
      <formula>"Muy Baja"</formula>
    </cfRule>
  </conditionalFormatting>
  <conditionalFormatting sqref="L10:L33">
    <cfRule type="containsText" dxfId="5" priority="6" operator="containsText" text="❌">
      <formula>NOT(ISERROR(SEARCH("❌",L10)))</formula>
    </cfRule>
  </conditionalFormatting>
  <conditionalFormatting sqref="Z20">
    <cfRule type="cellIs" dxfId="4" priority="1" operator="equal">
      <formula>"Muy Alta"</formula>
    </cfRule>
    <cfRule type="cellIs" dxfId="3" priority="2" operator="equal">
      <formula>"Alta"</formula>
    </cfRule>
    <cfRule type="cellIs" dxfId="2" priority="3" operator="equal">
      <formula>"Media"</formula>
    </cfRule>
    <cfRule type="cellIs" dxfId="1" priority="4" operator="equal">
      <formula>"Baja"</formula>
    </cfRule>
    <cfRule type="cellIs" dxfId="0" priority="5" operator="equal">
      <formula>"Muy Baja"</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59FE9718-EB63-4E91-B788-A8B7EFAEEB67}">
          <x14:formula1>
            <xm:f>'C:\Users\PLANEACION_HCI\Desktop\[fo-_2256_MAPA DE RIESGOS SICOF.xlsx]Tabla Valoración controles'!#REF!</xm:f>
          </x14:formula1>
          <xm:sqref>S10:S33</xm:sqref>
        </x14:dataValidation>
        <x14:dataValidation type="list" allowBlank="1" showInputMessage="1" showErrorMessage="1" xr:uid="{58C4E526-7611-43C6-A668-229BBB77CEA6}">
          <x14:formula1>
            <xm:f>'C:\Users\PLANEACION_HCI\Desktop\[fo-_2256_MAPA DE RIESGOS SICOF.xlsx]Tabla Valoración controles'!#REF!</xm:f>
          </x14:formula1>
          <xm:sqref>T10:T33 V10:X33</xm:sqref>
        </x14:dataValidation>
        <x14:dataValidation type="list" allowBlank="1" showInputMessage="1" showErrorMessage="1" xr:uid="{70A7643E-B54E-4F3C-A80B-03A4D47834CD}">
          <x14:formula1>
            <xm:f>'C:\Users\PLANEACION_HCI\Desktop\[fo-_2256_MAPA DE RIESGOS SICOF.xlsx]Opciones Tratamiento'!#REF!</xm:f>
          </x14:formula1>
          <xm:sqref>AE10:AE33 C22:C32 C10:C20 G22:G32 G10:G20</xm:sqref>
        </x14:dataValidation>
        <x14:dataValidation type="list" allowBlank="1" showInputMessage="1" showErrorMessage="1" xr:uid="{C6916A1A-82ED-4B93-8B80-775A3242259A}">
          <x14:formula1>
            <xm:f>'C:\Users\PLANEACION_HCI\Desktop\[fo-_2256_MAPA DE RIESGOS SICOF.xlsx]Tabla Impacto'!#REF!</xm:f>
          </x14:formula1>
          <xm:sqref>K10:K32</xm:sqref>
        </x14:dataValidation>
        <x14:dataValidation type="custom" allowBlank="1" showInputMessage="1" showErrorMessage="1" error="Recuerde que las acciones se generan bajo la medida de mitigar el riesgo" xr:uid="{E8D457CD-61B0-4F19-BD70-20CB55B7A8A0}">
          <x14:formula1>
            <xm:f>IF(OR(AG20='C:\Users\PLANEACION_HCI\Desktop\[fo-_2256_MAPA DE RIESGOS SICOF.xlsx]Opciones Tratamiento'!#REF!,AG20='C:\Users\PLANEACION_HCI\Desktop\[fo-_2256_MAPA DE RIESGOS SICOF.xlsx]Opciones Tratamiento'!#REF!,AG20='C:\Users\PLANEACION_HCI\Desktop\[fo-_2256_MAPA DE RIESGOS SICOF.xlsx]Opciones Tratamiento'!#REF!),ISBLANK(AG20),ISTEXT(AG20))</xm:f>
          </x14:formula1>
          <xm:sqref>AI20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MAPA SICOF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PLANEACION_HCI</dc:creator>
  <cp:lastModifiedBy>PLANEACION_HCI</cp:lastModifiedBy>
  <dcterms:created xsi:type="dcterms:W3CDTF">2026-05-08T19:09:00Z</dcterms:created>
  <dcterms:modified xsi:type="dcterms:W3CDTF">2026-05-08T19:10:00Z</dcterms:modified>
</cp:coreProperties>
</file>